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3F01CA7E-2C7C-41EF-83C7-6BC4405D4554}" xr6:coauthVersionLast="47" xr6:coauthVersionMax="47" xr10:uidLastSave="{00000000-0000-0000-0000-000000000000}"/>
  <bookViews>
    <workbookView xWindow="16695" yWindow="975" windowWidth="21600" windowHeight="10275" tabRatio="945" activeTab="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052" r:id="rId37"/>
    <pivotCache cacheId="5056" r:id="rId38"/>
    <pivotCache cacheId="5061" r:id="rId39"/>
    <pivotCache cacheId="5066" r:id="rId40"/>
    <pivotCache cacheId="5072" r:id="rId41"/>
    <pivotCache cacheId="5077" r:id="rId42"/>
    <pivotCache cacheId="5082" r:id="rId43"/>
    <pivotCache cacheId="508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9" i="70" l="1"/>
  <c r="I7" i="32"/>
  <c r="H7" i="32"/>
  <c r="I6" i="32"/>
  <c r="H6" i="32"/>
  <c r="I5" i="32"/>
  <c r="H5" i="32"/>
  <c r="I4" i="32"/>
  <c r="H4" i="32"/>
  <c r="C18" i="34"/>
  <c r="E18" i="34"/>
  <c r="D18" i="34"/>
  <c r="D14" i="34"/>
  <c r="D17" i="34"/>
  <c r="X13" i="70"/>
  <c r="X12" i="70"/>
  <c r="X11" i="70"/>
  <c r="X10" i="70"/>
  <c r="X9" i="70"/>
  <c r="T13" i="70"/>
  <c r="T12" i="70"/>
  <c r="T11" i="70"/>
  <c r="T10" i="70"/>
  <c r="T9" i="70"/>
  <c r="V13" i="70"/>
  <c r="V12" i="70"/>
  <c r="V11" i="70"/>
  <c r="V10" i="70"/>
  <c r="V9" i="70"/>
  <c r="I18" i="9"/>
  <c r="I17" i="9"/>
  <c r="K167" i="70" l="1"/>
  <c r="J167" i="70"/>
  <c r="C341" i="38" l="1"/>
  <c r="C347" i="38"/>
  <c r="C329" i="38"/>
  <c r="C335" i="38"/>
  <c r="C317" i="38"/>
  <c r="C323" i="38"/>
  <c r="C305" i="38"/>
  <c r="C311" i="38"/>
  <c r="C293" i="38"/>
  <c r="C299" i="38"/>
  <c r="B59" i="26"/>
  <c r="B60" i="26"/>
  <c r="C60" i="26" s="1"/>
  <c r="D60" i="26" s="1"/>
  <c r="C33" i="17"/>
  <c r="C34" i="17"/>
  <c r="C35" i="17"/>
  <c r="C36" i="17"/>
  <c r="E36" i="17" s="1"/>
  <c r="C37" i="17"/>
  <c r="E37" i="17" s="1"/>
  <c r="C38" i="17"/>
  <c r="E38" i="17" s="1"/>
  <c r="C39" i="17"/>
  <c r="C40" i="17"/>
  <c r="E40" i="17" s="1"/>
  <c r="C41" i="17"/>
  <c r="D41" i="17" s="1"/>
  <c r="E41" i="17" s="1"/>
  <c r="C42" i="17"/>
  <c r="D42" i="17" s="1"/>
  <c r="E42" i="17" s="1"/>
  <c r="C43" i="17"/>
  <c r="C44" i="17"/>
  <c r="D44" i="17" s="1"/>
  <c r="E44" i="17" s="1"/>
  <c r="C45" i="17"/>
  <c r="C32" i="17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43" i="17" l="1"/>
  <c r="E43" i="17" s="1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288" i="38" l="1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C37" i="66" s="1"/>
  <c r="O37" i="66" s="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29" i="66" l="1"/>
  <c r="O229" i="66" s="1"/>
  <c r="U229" i="66" s="1"/>
  <c r="C85" i="66"/>
  <c r="O85" i="66" s="1"/>
  <c r="C133" i="66"/>
  <c r="O133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E5" i="34"/>
  <c r="E7" i="34"/>
  <c r="E8" i="34"/>
  <c r="E10" i="34"/>
  <c r="E11" i="34"/>
  <c r="E12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I117" i="58" s="1"/>
  <c r="H180" i="35"/>
  <c r="I110" i="58" s="1"/>
  <c r="I178" i="35"/>
  <c r="J101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I80" i="58" s="1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2" i="58" l="1"/>
  <c r="J114" i="58"/>
  <c r="J118" i="58"/>
  <c r="J117" i="58"/>
  <c r="I115" i="58"/>
  <c r="I112" i="58"/>
  <c r="I113" i="58"/>
  <c r="I116" i="58"/>
  <c r="I118" i="58"/>
  <c r="J96" i="58"/>
  <c r="J99" i="58"/>
  <c r="J98" i="58"/>
  <c r="J97" i="58"/>
  <c r="J79" i="58"/>
  <c r="J80" i="58"/>
  <c r="J85" i="58"/>
  <c r="I77" i="37"/>
  <c r="I76" i="37"/>
  <c r="I74" i="37"/>
  <c r="I75" i="37"/>
  <c r="I80" i="37"/>
  <c r="I80" i="41" s="1"/>
  <c r="I78" i="37"/>
  <c r="I79" i="37"/>
  <c r="J118" i="37"/>
  <c r="J115" i="37"/>
  <c r="J117" i="37"/>
  <c r="J119" i="37"/>
  <c r="J112" i="37"/>
  <c r="J114" i="37"/>
  <c r="J113" i="37"/>
  <c r="J113" i="41" s="1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99" i="41" s="1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8" i="41" s="1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J82" i="37"/>
  <c r="J86" i="37"/>
  <c r="J86" i="41" s="1"/>
  <c r="J85" i="37"/>
  <c r="J81" i="37"/>
  <c r="J84" i="37"/>
  <c r="J83" i="37"/>
  <c r="J87" i="37"/>
  <c r="I113" i="37"/>
  <c r="I112" i="37"/>
  <c r="I119" i="37"/>
  <c r="I114" i="37"/>
  <c r="I117" i="37"/>
  <c r="I117" i="41" s="1"/>
  <c r="I116" i="37"/>
  <c r="I115" i="37"/>
  <c r="I118" i="37"/>
  <c r="H416" i="37"/>
  <c r="H417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H117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118" i="41" l="1"/>
  <c r="E277" i="38"/>
  <c r="I82" i="41"/>
  <c r="J80" i="41"/>
  <c r="J117" i="41"/>
  <c r="I113" i="41"/>
  <c r="J112" i="41"/>
  <c r="I116" i="41"/>
  <c r="J114" i="41"/>
  <c r="I115" i="41"/>
  <c r="I112" i="41"/>
  <c r="J96" i="41"/>
  <c r="J97" i="41"/>
  <c r="I118" i="41"/>
  <c r="J98" i="41"/>
  <c r="J85" i="4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O12" i="39" l="1"/>
  <c r="H438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P13" i="9" s="1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1" i="26" l="1"/>
  <c r="R7" i="9"/>
  <c r="E32" i="22"/>
  <c r="E35" i="26"/>
  <c r="I198" i="35" s="1"/>
  <c r="R40" i="9"/>
  <c r="E39" i="26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I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I70" i="18" l="1"/>
  <c r="H69" i="18"/>
  <c r="H16" i="18"/>
  <c r="H61" i="18"/>
  <c r="I165" i="37"/>
  <c r="I167" i="37"/>
  <c r="I59" i="18"/>
  <c r="F59" i="18" s="1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59" i="18" l="1"/>
  <c r="J27" i="18"/>
  <c r="F25" i="18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59" i="66" l="1"/>
  <c r="O93" i="66"/>
  <c r="Q93" i="66" s="1"/>
  <c r="R93" i="66" s="1"/>
  <c r="T93" i="66" s="1"/>
  <c r="O57" i="66"/>
  <c r="Q57" i="66" s="1"/>
  <c r="R57" i="66" s="1"/>
  <c r="T57" i="66" s="1"/>
  <c r="Y57" i="66"/>
  <c r="Z201" i="66"/>
  <c r="Z57" i="66"/>
  <c r="Y201" i="66"/>
  <c r="Z219" i="66"/>
  <c r="Y75" i="66"/>
  <c r="O219" i="66"/>
  <c r="Q219" i="66" s="1"/>
  <c r="R219" i="66" s="1"/>
  <c r="T219" i="66" s="1"/>
  <c r="Y219" i="66"/>
  <c r="O75" i="66"/>
  <c r="Q75" i="66" s="1"/>
  <c r="R75" i="66" s="1"/>
  <c r="T75" i="66" s="1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16" i="66" l="1"/>
  <c r="N231" i="66"/>
  <c r="N58" i="66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Y202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Z216" i="66" l="1"/>
  <c r="Y58" i="66"/>
  <c r="Z58" i="66"/>
  <c r="Y216" i="66"/>
  <c r="F17" i="39"/>
  <c r="Z72" i="66"/>
  <c r="Y72" i="66"/>
  <c r="I442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42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I442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M163" i="66" s="1"/>
  <c r="E290" i="38"/>
  <c r="E308" i="38"/>
  <c r="M67" i="66" s="1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C5" i="8" s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5" i="8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S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14" i="66" l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I402" i="58" s="1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I403" i="58" l="1"/>
  <c r="I403" i="41" s="1"/>
  <c r="F242" i="66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41" i="66" l="1"/>
  <c r="E23" i="53"/>
  <c r="F23" i="53" s="1"/>
  <c r="H17" i="53" s="1"/>
  <c r="G17" i="53" s="1"/>
  <c r="E305" i="38" s="1"/>
  <c r="F290" i="66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G23" i="53" l="1"/>
  <c r="E317" i="38" s="1"/>
  <c r="I462" i="58" s="1"/>
  <c r="L290" i="66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98" i="66"/>
  <c r="L146" i="66"/>
  <c r="L241" i="66" l="1"/>
  <c r="P241" i="66" s="1"/>
  <c r="P289" i="66"/>
  <c r="N289" i="66"/>
  <c r="P290" i="66"/>
  <c r="V290" i="66" s="1"/>
  <c r="X290" i="66" s="1"/>
  <c r="R290" i="66"/>
  <c r="T290" i="66" s="1"/>
  <c r="J462" i="37"/>
  <c r="J462" i="41" s="1"/>
  <c r="M241" i="66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N241" i="66" l="1"/>
  <c r="O241" i="66" s="1"/>
  <c r="U241" i="66" s="1"/>
  <c r="R193" i="66"/>
  <c r="T193" i="66" s="1"/>
  <c r="N193" i="66"/>
  <c r="O193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Y290" i="66"/>
  <c r="Z146" i="66"/>
  <c r="Z290" i="66"/>
  <c r="Y146" i="66"/>
  <c r="Z97" i="66" l="1"/>
  <c r="Y241" i="66"/>
  <c r="Z241" i="66"/>
  <c r="Y97" i="66"/>
  <c r="O97" i="66"/>
  <c r="V97" i="66" s="1"/>
  <c r="X97" i="66" s="1"/>
  <c r="Q241" i="66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 l="1"/>
  <c r="R97" i="66" s="1"/>
  <c r="T97" i="66" s="1"/>
  <c r="U97" i="66"/>
  <c r="Q49" i="66"/>
  <c r="I4" i="58" l="1"/>
  <c r="I4" i="37"/>
  <c r="J4" i="58"/>
  <c r="J4" i="37"/>
  <c r="H4" i="58" l="1"/>
  <c r="H4" i="37"/>
  <c r="J4" i="41"/>
  <c r="E45" i="39" s="1"/>
  <c r="E31" i="53"/>
  <c r="F101" i="66"/>
  <c r="E37" i="53"/>
  <c r="O4" i="58"/>
  <c r="F245" i="66"/>
  <c r="E19" i="53"/>
  <c r="I4" i="41"/>
  <c r="D45" i="39" s="1"/>
  <c r="F53" i="66"/>
  <c r="F197" i="66"/>
  <c r="N4" i="58"/>
  <c r="E25" i="53"/>
  <c r="M45" i="39" l="1"/>
  <c r="M56" i="39" s="1"/>
  <c r="L45" i="39"/>
  <c r="D56" i="39"/>
  <c r="E107" i="38"/>
  <c r="D59" i="39"/>
  <c r="D60" i="39" s="1"/>
  <c r="E56" i="39"/>
  <c r="E59" i="39"/>
  <c r="E60" i="39" s="1"/>
  <c r="E124" i="38"/>
  <c r="H4" i="41"/>
  <c r="K45" i="39" s="1"/>
  <c r="F5" i="66"/>
  <c r="E7" i="53"/>
  <c r="M4" i="58"/>
  <c r="F149" i="66"/>
  <c r="E13" i="53"/>
  <c r="E175" i="38" l="1"/>
  <c r="J245" i="66" s="1"/>
  <c r="M59" i="39"/>
  <c r="M60" i="39" s="1"/>
  <c r="C45" i="39"/>
  <c r="C56" i="39" s="1"/>
  <c r="J53" i="66"/>
  <c r="I444" i="37"/>
  <c r="D19" i="53"/>
  <c r="F19" i="53" s="1"/>
  <c r="H25" i="53" s="1"/>
  <c r="I452" i="37"/>
  <c r="D57" i="39"/>
  <c r="D58" i="39"/>
  <c r="K59" i="39"/>
  <c r="K60" i="39" s="1"/>
  <c r="K56" i="39"/>
  <c r="E141" i="38"/>
  <c r="J452" i="37"/>
  <c r="J101" i="66"/>
  <c r="D31" i="53"/>
  <c r="F31" i="53" s="1"/>
  <c r="H37" i="53" s="1"/>
  <c r="J444" i="37"/>
  <c r="M58" i="39"/>
  <c r="M57" i="39"/>
  <c r="E58" i="39"/>
  <c r="E57" i="39"/>
  <c r="E158" i="38"/>
  <c r="L59" i="39"/>
  <c r="L60" i="39" s="1"/>
  <c r="L56" i="39"/>
  <c r="D37" i="53" l="1"/>
  <c r="F37" i="53" s="1"/>
  <c r="G37" i="53" s="1"/>
  <c r="J444" i="58"/>
  <c r="J452" i="58"/>
  <c r="J452" i="41" s="1"/>
  <c r="E90" i="38"/>
  <c r="H444" i="37" s="1"/>
  <c r="C59" i="39"/>
  <c r="C60" i="39" s="1"/>
  <c r="S101" i="66"/>
  <c r="W101" i="66"/>
  <c r="I457" i="37"/>
  <c r="F55" i="66"/>
  <c r="J444" i="41"/>
  <c r="F246" i="66"/>
  <c r="J467" i="58"/>
  <c r="F103" i="66"/>
  <c r="J457" i="37"/>
  <c r="L57" i="39"/>
  <c r="L58" i="39"/>
  <c r="H444" i="58"/>
  <c r="H452" i="58"/>
  <c r="J149" i="66"/>
  <c r="D13" i="53"/>
  <c r="F13" i="53" s="1"/>
  <c r="H7" i="53" s="1"/>
  <c r="I467" i="37"/>
  <c r="F54" i="66"/>
  <c r="W245" i="66"/>
  <c r="S245" i="66"/>
  <c r="K58" i="39"/>
  <c r="K57" i="39"/>
  <c r="S53" i="66"/>
  <c r="W53" i="66"/>
  <c r="I452" i="58"/>
  <c r="I452" i="41" s="1"/>
  <c r="D25" i="53"/>
  <c r="F25" i="53" s="1"/>
  <c r="J197" i="66"/>
  <c r="I444" i="58"/>
  <c r="H31" i="53"/>
  <c r="G31" i="53" s="1"/>
  <c r="J467" i="37"/>
  <c r="F102" i="66"/>
  <c r="C58" i="39"/>
  <c r="C57" i="39"/>
  <c r="J457" i="58" l="1"/>
  <c r="F247" i="66"/>
  <c r="D7" i="53"/>
  <c r="F7" i="53" s="1"/>
  <c r="H13" i="53" s="1"/>
  <c r="G13" i="53" s="1"/>
  <c r="J5" i="66"/>
  <c r="W5" i="66" s="1"/>
  <c r="H452" i="37"/>
  <c r="F7" i="66" s="1"/>
  <c r="E343" i="38"/>
  <c r="E349" i="38"/>
  <c r="M245" i="66" s="1"/>
  <c r="L54" i="66"/>
  <c r="P54" i="66" s="1"/>
  <c r="E331" i="38"/>
  <c r="E337" i="38"/>
  <c r="S197" i="66"/>
  <c r="W197" i="66"/>
  <c r="L102" i="66"/>
  <c r="P102" i="66" s="1"/>
  <c r="F198" i="66"/>
  <c r="I467" i="58"/>
  <c r="I467" i="41" s="1"/>
  <c r="I444" i="41"/>
  <c r="G25" i="53"/>
  <c r="H19" i="53"/>
  <c r="G19" i="53" s="1"/>
  <c r="W149" i="66"/>
  <c r="S149" i="66"/>
  <c r="E366" i="38"/>
  <c r="K103" i="66" s="1"/>
  <c r="N103" i="66" s="1"/>
  <c r="J458" i="37"/>
  <c r="E360" i="38"/>
  <c r="K55" i="66" s="1"/>
  <c r="N55" i="66" s="1"/>
  <c r="I458" i="37"/>
  <c r="F199" i="66"/>
  <c r="I457" i="58"/>
  <c r="H457" i="58"/>
  <c r="F151" i="66"/>
  <c r="H467" i="58"/>
  <c r="F150" i="66"/>
  <c r="J467" i="41"/>
  <c r="O3" i="41" s="1"/>
  <c r="F6" i="66"/>
  <c r="H467" i="37"/>
  <c r="H444" i="41"/>
  <c r="J457" i="41"/>
  <c r="E384" i="38"/>
  <c r="K247" i="66" s="1"/>
  <c r="N247" i="66" s="1"/>
  <c r="J458" i="58"/>
  <c r="E385" i="38" s="1"/>
  <c r="K266" i="66" s="1"/>
  <c r="N266" i="66" s="1"/>
  <c r="L246" i="66"/>
  <c r="P246" i="66" s="1"/>
  <c r="G7" i="53" l="1"/>
  <c r="E283" i="38" s="1"/>
  <c r="S5" i="66"/>
  <c r="H452" i="41"/>
  <c r="H457" i="37"/>
  <c r="H457" i="41" s="1"/>
  <c r="Z247" i="66"/>
  <c r="N246" i="66"/>
  <c r="N102" i="66"/>
  <c r="H467" i="41"/>
  <c r="M3" i="41" s="1"/>
  <c r="L6" i="66"/>
  <c r="P6" i="66" s="1"/>
  <c r="V6" i="66" s="1"/>
  <c r="X6" i="66" s="1"/>
  <c r="H458" i="58"/>
  <c r="E373" i="38" s="1"/>
  <c r="K170" i="66" s="1"/>
  <c r="N170" i="66" s="1"/>
  <c r="E372" i="38"/>
  <c r="K151" i="66" s="1"/>
  <c r="N151" i="66" s="1"/>
  <c r="E361" i="38"/>
  <c r="K74" i="66" s="1"/>
  <c r="N74" i="66" s="1"/>
  <c r="L198" i="66"/>
  <c r="P198" i="66" s="1"/>
  <c r="M101" i="66"/>
  <c r="G18" i="39" s="1"/>
  <c r="D20" i="8"/>
  <c r="E378" i="38"/>
  <c r="K199" i="66" s="1"/>
  <c r="N199" i="66" s="1"/>
  <c r="J168" i="70" s="1"/>
  <c r="I458" i="58"/>
  <c r="E379" i="38" s="1"/>
  <c r="K218" i="66" s="1"/>
  <c r="N218" i="66" s="1"/>
  <c r="J464" i="37"/>
  <c r="L101" i="66"/>
  <c r="L150" i="66"/>
  <c r="P150" i="66" s="1"/>
  <c r="V150" i="66" s="1"/>
  <c r="X150" i="66" s="1"/>
  <c r="I457" i="41"/>
  <c r="E307" i="38"/>
  <c r="E313" i="38"/>
  <c r="N54" i="66"/>
  <c r="E367" i="38"/>
  <c r="K122" i="66" s="1"/>
  <c r="N122" i="66" s="1"/>
  <c r="J458" i="41"/>
  <c r="E319" i="38"/>
  <c r="E325" i="38"/>
  <c r="M197" i="66" s="1"/>
  <c r="E301" i="38"/>
  <c r="M149" i="66" s="1"/>
  <c r="E295" i="38"/>
  <c r="Y103" i="66"/>
  <c r="Y247" i="66"/>
  <c r="Z103" i="66"/>
  <c r="H458" i="37"/>
  <c r="L245" i="66"/>
  <c r="J464" i="58"/>
  <c r="E289" i="38" l="1"/>
  <c r="M5" i="66" s="1"/>
  <c r="E354" i="38"/>
  <c r="K7" i="66" s="1"/>
  <c r="N7" i="66" s="1"/>
  <c r="Y151" i="66" s="1"/>
  <c r="O102" i="66"/>
  <c r="V102" i="66" s="1"/>
  <c r="X102" i="66" s="1"/>
  <c r="Z102" i="66"/>
  <c r="Y102" i="66"/>
  <c r="O246" i="66"/>
  <c r="Q246" i="66" s="1"/>
  <c r="Z246" i="66"/>
  <c r="Y246" i="66"/>
  <c r="Z199" i="66"/>
  <c r="Z55" i="66"/>
  <c r="J464" i="41"/>
  <c r="Y199" i="66"/>
  <c r="H168" i="70"/>
  <c r="I464" i="58"/>
  <c r="L197" i="66"/>
  <c r="Y74" i="66"/>
  <c r="Z218" i="66"/>
  <c r="Z74" i="66"/>
  <c r="Y218" i="66"/>
  <c r="E355" i="38"/>
  <c r="K26" i="66" s="1"/>
  <c r="N26" i="66" s="1"/>
  <c r="H458" i="41"/>
  <c r="Z266" i="66"/>
  <c r="Y122" i="66"/>
  <c r="Z122" i="66"/>
  <c r="Y266" i="66"/>
  <c r="Y55" i="66"/>
  <c r="N6" i="66"/>
  <c r="P245" i="66"/>
  <c r="N245" i="66"/>
  <c r="M53" i="66"/>
  <c r="F18" i="39" s="1"/>
  <c r="C20" i="8"/>
  <c r="B20" i="8"/>
  <c r="L149" i="66"/>
  <c r="H464" i="58"/>
  <c r="L53" i="66"/>
  <c r="I464" i="37"/>
  <c r="N198" i="66"/>
  <c r="O198" i="66" s="1"/>
  <c r="P101" i="66"/>
  <c r="N101" i="66"/>
  <c r="L5" i="66"/>
  <c r="H464" i="37"/>
  <c r="N150" i="66"/>
  <c r="I458" i="41"/>
  <c r="Q102" i="66" l="1"/>
  <c r="U102" i="66"/>
  <c r="Z151" i="66"/>
  <c r="Y7" i="66"/>
  <c r="Z7" i="66"/>
  <c r="V246" i="66"/>
  <c r="X246" i="66" s="1"/>
  <c r="U246" i="66"/>
  <c r="O150" i="66"/>
  <c r="U150" i="66" s="1"/>
  <c r="I464" i="41"/>
  <c r="Z54" i="66"/>
  <c r="R5" i="66"/>
  <c r="T5" i="66" s="1"/>
  <c r="P5" i="66"/>
  <c r="V5" i="66" s="1"/>
  <c r="X5" i="66" s="1"/>
  <c r="N5" i="66"/>
  <c r="P53" i="66"/>
  <c r="N53" i="66"/>
  <c r="N149" i="66"/>
  <c r="R149" i="66"/>
  <c r="T149" i="66" s="1"/>
  <c r="P149" i="66"/>
  <c r="V149" i="66" s="1"/>
  <c r="X149" i="66" s="1"/>
  <c r="P197" i="66"/>
  <c r="N197" i="66"/>
  <c r="Y245" i="66"/>
  <c r="O101" i="66"/>
  <c r="Z101" i="66"/>
  <c r="Y101" i="66"/>
  <c r="Z245" i="66"/>
  <c r="Q198" i="66"/>
  <c r="V198" i="66"/>
  <c r="X198" i="66" s="1"/>
  <c r="U198" i="66"/>
  <c r="Y198" i="66"/>
  <c r="O6" i="66"/>
  <c r="Z6" i="66"/>
  <c r="Z150" i="66"/>
  <c r="Y6" i="66"/>
  <c r="Y150" i="66"/>
  <c r="Z198" i="66"/>
  <c r="Y54" i="66"/>
  <c r="Z26" i="66"/>
  <c r="Z170" i="66"/>
  <c r="Y170" i="66"/>
  <c r="Y26" i="66"/>
  <c r="H464" i="41"/>
  <c r="O245" i="66"/>
  <c r="O54" i="66"/>
  <c r="Q150" i="66" l="1"/>
  <c r="O149" i="66"/>
  <c r="U149" i="66" s="1"/>
  <c r="O53" i="66"/>
  <c r="Y53" i="66"/>
  <c r="Y197" i="66"/>
  <c r="Z197" i="66"/>
  <c r="Z53" i="66"/>
  <c r="U6" i="66"/>
  <c r="Q6" i="66"/>
  <c r="V101" i="66"/>
  <c r="X101" i="66" s="1"/>
  <c r="Q101" i="66"/>
  <c r="R101" i="66" s="1"/>
  <c r="T101" i="66" s="1"/>
  <c r="U101" i="66"/>
  <c r="Q54" i="66"/>
  <c r="V54" i="66"/>
  <c r="X54" i="66" s="1"/>
  <c r="U54" i="66"/>
  <c r="Y5" i="66"/>
  <c r="Y149" i="66"/>
  <c r="O5" i="66"/>
  <c r="Z149" i="66"/>
  <c r="Z5" i="66"/>
  <c r="U245" i="66"/>
  <c r="Q245" i="66"/>
  <c r="R245" i="66" s="1"/>
  <c r="T245" i="66" s="1"/>
  <c r="V245" i="66"/>
  <c r="X245" i="66" s="1"/>
  <c r="O197" i="66"/>
  <c r="Q149" i="66" l="1"/>
  <c r="Q5" i="66"/>
  <c r="U5" i="66"/>
  <c r="U197" i="66"/>
  <c r="Q197" i="66"/>
  <c r="R197" i="66" s="1"/>
  <c r="T197" i="66" s="1"/>
  <c r="V197" i="66"/>
  <c r="X197" i="66" s="1"/>
  <c r="V53" i="66"/>
  <c r="X53" i="66" s="1"/>
  <c r="Q53" i="66"/>
  <c r="R53" i="66" s="1"/>
  <c r="T53" i="66" s="1"/>
  <c r="U5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<sst xmlns="http://schemas.openxmlformats.org/spreadsheetml/2006/main" count="4059" uniqueCount="347">
  <si>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</si>
  <si>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</si>
  <si>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</si>
  <si>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</si>
  <si>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</si>
  <si>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</si>
  <si>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</si>
  <si>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</si>
  <si>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</si>
  <si>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</si>
  <si>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</si>
  <si>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</si>
  <si>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</si>
  <si>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</si>
  <si>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</si>
  <si>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</si>
  <si>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</si>
  <si>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</si>
  <si>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</si>
  <si>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</si>
  <si>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</si>
  <si>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</si>
  <si>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</si>
  <si>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</si>
  <si>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</si>
  <si>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</si>
  <si>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</si>
  <si>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</si>
  <si>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</si>
  <si>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</si>
  <si>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</si>
  <si>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</si>
  <si>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</si>
  <si>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</si>
  <si>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</si>
  <si>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</si>
  <si>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</si>
  <si>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</si>
  <si>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</si>
  <si>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</si>
  <si>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</si>
  <si>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</si>
  <si>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</si>
  <si>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</si>
  <si>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</si>
  <si>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</si>
  <si>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</si>
  <si>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</si>
  <si>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</si>
  <si>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</si>
  <si>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</si>
  <si>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</si>
  <si>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</si>
  <si>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</si>
  <si>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</si>
  <si>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</si>
  <si>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</si>
  <si>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</si>
  <si>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</si>
  <si>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</si>
  <si>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</si>
  <si>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</si>
  <si>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</si>
  <si>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</si>
  <si>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</si>
  <si>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</si>
  <si>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</si>
  <si>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</si>
  <si>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</si>
  <si>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</si>
  <si>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</si>
  <si>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</si>
  <si>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</si>
  <si>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</si>
  <si>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</si>
  <si>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</si>
  <si>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</si>
  <si>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</si>
  <si>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</si>
  <si>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</si>
  <si>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</si>
  <si>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</si>
  <si>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</si>
  <si>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</si>
  <si>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</si>
  <si>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</si>
  <si>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</si>
  <si>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</si>
  <si>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</si>
  <si>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</si>
  <si>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</si>
  <si>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</si>
  <si>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</si>
  <si>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</si>
  <si>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</si>
  <si>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</si>
  <si>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</si>
  <si>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</si>
  <si>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</si>
  <si>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</si>
  <si>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</si>
  <si>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</si>
  <si>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</si>
  <si>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</si>
  <si>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</si>
  <si>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</si>
  <si>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</si>
  <si>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</si>
  <si>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</si>
  <si>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</si>
  <si>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</si>
  <si>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</si>
  <si>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</si>
  <si>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</si>
  <si>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</si>
  <si>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</si>
  <si>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</si>
  <si>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</si>
  <si>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</si>
  <si>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</si>
  <si>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</si>
  <si>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</si>
  <si>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</si>
  <si>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</si>
  <si>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</si>
  <si>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</si>
  <si>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</si>
  <si>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</si>
  <si>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</si>
  <si>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</si>
  <si>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</si>
  <si>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</si>
  <si>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</si>
  <si>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</si>
  <si>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</si>
  <si>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</si>
  <si>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</si>
  <si>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</si>
  <si>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</si>
  <si>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</si>
  <si>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</si>
  <si>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</si>
  <si>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</si>
  <si>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</si>
  <si>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</si>
  <si>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</si>
  <si>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</si>
  <si>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</si>
  <si>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</si>
  <si>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</si>
  <si>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</si>
  <si>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</si>
  <si>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</si>
  <si>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</si>
  <si>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</si>
  <si>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</si>
  <si>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</si>
  <si>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</si>
  <si>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</si>
  <si>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</si>
  <si>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</si>
  <si>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</si>
  <si>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</si>
  <si>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</si>
  <si>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</si>
  <si>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</si>
  <si>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</si>
  <si>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</si>
  <si>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</si>
  <si>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</si>
  <si>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</si>
  <si>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</si>
  <si>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</si>
  <si>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</si>
  <si>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</si>
  <si>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</si>
  <si>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</si>
  <si>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</si>
  <si>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</si>
  <si>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</si>
  <si>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</si>
  <si>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</si>
  <si>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</si>
  <si>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</si>
  <si>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</si>
  <si>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</si>
  <si>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</si>
  <si>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</si>
  <si>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</si>
  <si>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</si>
  <si>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</si>
  <si>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</si>
  <si>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</si>
  <si>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</si>
  <si>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</si>
  <si>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</si>
  <si>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</si>
  <si>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</si>
  <si>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</si>
  <si>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</si>
  <si>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</si>
  <si>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</si>
  <si>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</si>
  <si>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</si>
  <si>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</si>
  <si>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</si>
  <si>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</si>
  <si>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</si>
  <si>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</si>
  <si>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</si>
  <si>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</si>
  <si>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</si>
  <si>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</si>
  <si>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</si>
  <si>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</si>
  <si>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</si>
  <si>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</si>
  <si>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</si>
  <si>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</si>
  <si>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</si>
  <si>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</si>
  <si>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</si>
  <si>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</si>
  <si>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</si>
  <si>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</si>
  <si>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</si>
  <si>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</si>
  <si>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</si>
  <si>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</si>
  <si>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</si>
  <si>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</si>
  <si>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</si>
  <si>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</si>
  <si>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</si>
  <si>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</si>
  <si>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</si>
  <si>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</si>
  <si>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</si>
  <si>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</si>
  <si>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</si>
  <si>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</si>
  <si>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</si>
  <si>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</si>
  <si>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</si>
  <si>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</si>
  <si>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</si>
  <si>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</si>
  <si>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</si>
  <si>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</si>
  <si>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</si>
  <si>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</si>
  <si>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</si>
  <si>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</si>
  <si>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</si>
  <si>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</si>
  <si>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</si>
  <si>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</si>
  <si>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</si>
  <si>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</si>
  <si>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</si>
  <si>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</si>
  <si>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</si>
  <si>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</si>
  <si>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</si>
  <si>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</si>
  <si>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</si>
  <si>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</si>
  <si>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</si>
  <si>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</si>
  <si>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</si>
  <si>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</si>
  <si>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</si>
  <si>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</si>
  <si>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</si>
  <si>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</si>
  <si>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</si>
  <si>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</si>
  <si>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</si>
  <si>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</si>
  <si>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</si>
  <si>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</si>
  <si>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</si>
  <si>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</si>
  <si>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</si>
  <si>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</si>
  <si>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</si>
  <si>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</si>
  <si>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</si>
  <si>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</si>
  <si>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</si>
  <si>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</si>
  <si>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</si>
  <si>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</si>
  <si>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</si>
  <si>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</si>
  <si>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</si>
  <si>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</si>
  <si>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</si>
  <si>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</si>
  <si>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</si>
  <si>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</si>
  <si>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</si>
  <si>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</si>
  <si>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</si>
  <si>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</si>
  <si>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</si>
  <si>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</si>
  <si>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</si>
  <si>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</si>
  <si>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</si>
  <si>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</si>
  <si>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</si>
  <si>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</si>
  <si>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</si>
  <si>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</si>
  <si>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</si>
  <si>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</si>
  <si>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</si>
  <si>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</si>
  <si>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</si>
  <si>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</si>
  <si>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</si>
  <si>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</si>
  <si>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</si>
  <si>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</si>
  <si>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</si>
  <si>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</si>
  <si>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</si>
  <si>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</si>
  <si>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</si>
  <si>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</si>
  <si>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</si>
  <si>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</si>
  <si>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</si>
  <si>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</si>
  <si>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</si>
  <si>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</si>
  <si>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</si>
  <si>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</si>
  <si>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</si>
  <si>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*De 62% kommer fra 10B KF21 (sektornotat landbrug)</t>
  </si>
  <si>
    <t xml:space="preserve">Biogasgylle overskud: </t>
  </si>
  <si>
    <t>Kunstgødning import:</t>
  </si>
  <si>
    <t>ton vv</t>
  </si>
  <si>
    <t>gødning</t>
  </si>
  <si>
    <t>Infrastruktur</t>
  </si>
  <si>
    <t>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</si>
</sst>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4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171" fontId="0" fillId="4" borderId="1" xfId="5" applyNumberFormat="1" applyFont="1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65" fontId="0" fillId="2" borderId="0" xfId="0" applyNumberFormat="1" applyFill="1"/>
    <xf numFmtId="171" fontId="0" fillId="2" borderId="0" xfId="5" applyNumberFormat="1" applyFont="1" applyFill="1"/>
    <xf numFmtId="2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1899640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-4456.0528686777052</c:v>
                </c:pt>
                <c:pt idx="2">
                  <c:v>-33420.396515082793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4093172.2025398235</c:v>
                </c:pt>
                <c:pt idx="2">
                  <c:v>2679380.6676877476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6029088.3887261683</c:v>
                </c:pt>
                <c:pt idx="2">
                  <c:v>4288624.3969176989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-5188850.6936776666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-267175.93995166855</c:v>
                </c:pt>
                <c:pt idx="2">
                  <c:v>-207963.90763086351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-965946.66666666663</c:v>
                </c:pt>
                <c:pt idx="2">
                  <c:v>-1631666.666666666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6418981.0641350169</c:v>
                </c:pt>
                <c:pt idx="2">
                  <c:v>-93896.599884833326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249070.41145368532</c:v>
                </c:pt>
                <c:pt idx="2">
                  <c:v>214658.93601995503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21590.944766009092</c:v>
                </c:pt>
                <c:pt idx="2">
                  <c:v>18996.364198504853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170968.3359175018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</c:v>
                </c:pt>
                <c:pt idx="2">
                  <c:v>75985.443395327253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14412.432783722899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65820.275689989779</c:v>
                </c:pt>
                <c:pt idx="2">
                  <c:v>56989.151034252507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883591.45920908637</c:v>
                </c:pt>
                <c:pt idx="2">
                  <c:v>759855.39892948361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111977.52639575012</c:v>
                </c:pt>
                <c:pt idx="2">
                  <c:v>75985.604105956139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61589.234291461857</c:v>
                </c:pt>
                <c:pt idx="2">
                  <c:v>53130.357652113154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197847.00478896062</c:v>
                </c:pt>
                <c:pt idx="2">
                  <c:v>195662.59492287465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10867.259065585898</c:v>
                </c:pt>
                <c:pt idx="2">
                  <c:v>9498.1844828219218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126838.32883501997</c:v>
                </c:pt>
                <c:pt idx="2">
                  <c:v>170968.41017995734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6954.7525926161197</c:v>
                </c:pt>
                <c:pt idx="2">
                  <c:v>5542.2418506135282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91124.170336585899</c:v>
                </c:pt>
                <c:pt idx="2">
                  <c:v>76736.594191037104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5.2637363992480983</c:v>
                </c:pt>
                <c:pt idx="2">
                  <c:v>4.2939929930570866</c:v>
                </c:pt>
                <c:pt idx="3">
                  <c:v>7.483154704207001</c:v>
                </c:pt>
                <c:pt idx="4">
                  <c:v>7.6462644832484088</c:v>
                </c:pt>
                <c:pt idx="5">
                  <c:v>8.7096084781369978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8.2067682589721134</c:v>
                </c:pt>
                <c:pt idx="2">
                  <c:v>0.62409360162388539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17.356841436004114</c:v>
                </c:pt>
                <c:pt idx="2">
                  <c:v>9.692541999309384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2.5889068207643463E-2</c:v>
                </c:pt>
                <c:pt idx="2">
                  <c:v>0.19416801155732599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1.3888908166281677</c:v>
                </c:pt>
                <c:pt idx="2">
                  <c:v>0.31738999949028068</c:v>
                </c:pt>
                <c:pt idx="3">
                  <c:v>5.0922829580050024</c:v>
                </c:pt>
                <c:pt idx="4">
                  <c:v>10.07935124113872</c:v>
                </c:pt>
                <c:pt idx="5">
                  <c:v>9.0556213344374008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9.0612696687551963</c:v>
                </c:pt>
                <c:pt idx="2">
                  <c:v>8.0107844843541365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44.637809685126449</c:v>
                </c:pt>
                <c:pt idx="2">
                  <c:v>45.143769899352193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14.320479999999996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1157763.9191905274</c:v>
                </c:pt>
                <c:pt idx="2">
                  <c:v>1153576.8289864096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1163202.9004319054</c:v>
                </c:pt>
                <c:pt idx="2">
                  <c:v>56031.445649720801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1440548.1525203786</c:v>
                </c:pt>
                <c:pt idx="2">
                  <c:v>819679.78906191699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4326.8637672941713</c:v>
                </c:pt>
                <c:pt idx="2">
                  <c:v>32451.47825470629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1569479.6170621489</c:v>
                </c:pt>
                <c:pt idx="2">
                  <c:v>1293053.5972113092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1488854.9594638841</c:v>
                </c:pt>
                <c:pt idx="2">
                  <c:v>1516284.0799882656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19815.087511041667</c:v>
                </c:pt>
                <c:pt idx="11">
                  <c:v>23272.964091633097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1926976.874477441</c:v>
                </c:pt>
                <c:pt idx="2">
                  <c:v>2134021.704381871</c:v>
                </c:pt>
                <c:pt idx="15">
                  <c:v>823764.99285714305</c:v>
                </c:pt>
                <c:pt idx="16">
                  <c:v>392806.8244127091</c:v>
                </c:pt>
                <c:pt idx="17">
                  <c:v>89764.405025586617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6532.5849353972917</c:v>
                </c:pt>
                <c:pt idx="2">
                  <c:v>10375.776869044654</c:v>
                </c:pt>
                <c:pt idx="15">
                  <c:v>4441.5</c:v>
                </c:pt>
                <c:pt idx="16">
                  <c:v>3517.5457344446954</c:v>
                </c:pt>
                <c:pt idx="17">
                  <c:v>1152.8640965605166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10480691.474373968</c:v>
                </c:pt>
                <c:pt idx="5">
                  <c:v>7119514.1300354572</c:v>
                </c:pt>
                <c:pt idx="18">
                  <c:v>0</c:v>
                </c:pt>
                <c:pt idx="19">
                  <c:v>2641880.5500020785</c:v>
                </c:pt>
                <c:pt idx="20">
                  <c:v>3439696.9965092409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0</c:v>
                </c:pt>
                <c:pt idx="5">
                  <c:v>0</c:v>
                </c:pt>
                <c:pt idx="9">
                  <c:v>1893765.2125355615</c:v>
                </c:pt>
                <c:pt idx="10">
                  <c:v>1525571.4861111147</c:v>
                </c:pt>
                <c:pt idx="11">
                  <c:v>673789.78974993015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</c:v>
                </c:pt>
                <c:pt idx="26">
                  <c:v>2499999.9999999995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2052345.9505433873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600000.00000000023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4998653.4312249422</c:v>
                </c:pt>
                <c:pt idx="5">
                  <c:v>3395575.9333028109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6364975.1187257059</c:v>
                </c:pt>
                <c:pt idx="2">
                  <c:v>5277484.9549352229</c:v>
                </c:pt>
                <c:pt idx="15">
                  <c:v>9696490.333333334</c:v>
                </c:pt>
                <c:pt idx="16">
                  <c:v>3427294.2946984568</c:v>
                </c:pt>
                <c:pt idx="17">
                  <c:v>586387.21721502463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1284072.4068269122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4839119.4159485474</c:v>
                </c:pt>
                <c:pt idx="5">
                  <c:v>3287204.7748960671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809041.93471028551</c:v>
                </c:pt>
                <c:pt idx="23">
                  <c:v>715248.61467447656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738437.3055495692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32714.581374719997</c:v>
                </c:pt>
                <c:pt idx="5">
                  <c:v>22222.953984000003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4731707.5344867064</c:v>
                </c:pt>
                <c:pt idx="2">
                  <c:v>6794458.8530864548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6275961.2089073332</c:v>
                </c:pt>
                <c:pt idx="2">
                  <c:v>4137996.4014773625</c:v>
                </c:pt>
                <c:pt idx="15">
                  <c:v>14742130.666666664</c:v>
                </c:pt>
                <c:pt idx="16">
                  <c:v>3379363.7278731791</c:v>
                </c:pt>
                <c:pt idx="17">
                  <c:v>459777.37794192904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161495.51348140143</c:v>
                </c:pt>
                <c:pt idx="11">
                  <c:v>113754.06087908773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2970330.8739142935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908664.94404977362</c:v>
                </c:pt>
                <c:pt idx="5">
                  <c:v>1185128.4445248868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441646.84855871997</c:v>
                </c:pt>
                <c:pt idx="5">
                  <c:v>575018.93433600001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839124.50566107244</c:v>
                </c:pt>
                <c:pt idx="2">
                  <c:v>1512733.9952745051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368026.31435770006</c:v>
                </c:pt>
                <c:pt idx="5">
                  <c:v>356060.01855873864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258893.41910729138</c:v>
                </c:pt>
                <c:pt idx="11">
                  <c:v>228879.55669583252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14752987.144599162</c:v>
                </c:pt>
                <c:pt idx="17">
                  <c:v>11581635.191573963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F-436A-8D9E-3B0A99E06D2B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1719578.7837137314</c:v>
                </c:pt>
                <c:pt idx="17">
                  <c:v>1534823.0900252662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F-436A-8D9E-3B0A99E06D2B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828800.00000000012</c:v>
                </c:pt>
                <c:pt idx="11">
                  <c:v>1399999.9999999998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AF-436A-8D9E-3B0A99E06D2B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207200.00000000003</c:v>
                </c:pt>
                <c:pt idx="11">
                  <c:v>349999.99999999994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AF-436A-8D9E-3B0A99E06D2B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868326.86024586018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AF-436A-8D9E-3B0A99E06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1719578.7837137314</c:v>
                </c:pt>
                <c:pt idx="2">
                  <c:v>1534823.0900252662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59285.001851880224</c:v>
                </c:pt>
                <c:pt idx="2">
                  <c:v>136369.20391162706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13002.37745204167</c:v>
                </c:pt>
                <c:pt idx="2">
                  <c:v>16374.082260121369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1265.9326566513337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309941.21680873836</c:v>
                </c:pt>
                <c:pt idx="2">
                  <c:v>366054.31257939187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A-4526-B402-C7B0D0412A6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2052345.9505433873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E-48E3-985E-7D39581AB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150386.53466598582</c:v>
                </c:pt>
                <c:pt idx="2">
                  <c:v>117613.2349022421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817971.94534569292</c:v>
                </c:pt>
                <c:pt idx="2">
                  <c:v>485996.40235160722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5519430.086039965</c:v>
                </c:pt>
                <c:pt idx="2">
                  <c:v>8348412.5260883253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644796.10799822072</c:v>
                </c:pt>
                <c:pt idx="2">
                  <c:v>147349.11768351006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114763.14848826305</c:v>
                </c:pt>
                <c:pt idx="2">
                  <c:v>89919.810232660064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1227194.2671304212</c:v>
                </c:pt>
                <c:pt idx="2">
                  <c:v>922709.36356099392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3800037.3179096282</c:v>
                </c:pt>
                <c:pt idx="2">
                  <c:v>62104.977447957266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1337439.7243202887</c:v>
                </c:pt>
                <c:pt idx="2">
                  <c:v>939086.15398809616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27322.703414779302</c:v>
                </c:pt>
                <c:pt idx="2">
                  <c:v>32949.639784893865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2390207.8339985022</c:v>
                </c:pt>
                <c:pt idx="2">
                  <c:v>1796476.0695982594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463910.9333094554</c:v>
                </c:pt>
                <c:pt idx="2">
                  <c:v>796640.21862734342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272080.00153552275</c:v>
                </c:pt>
                <c:pt idx="2">
                  <c:v>30250.2127053187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1481761.7321659857</c:v>
                </c:pt>
                <c:pt idx="2">
                  <c:v>500864.14768866642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3679991.2256067996</c:v>
                </c:pt>
                <c:pt idx="2">
                  <c:v>2211078.469678557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87842.254782762393</c:v>
                </c:pt>
                <c:pt idx="2">
                  <c:v>147834.94076348573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137474.82233829348</c:v>
                </c:pt>
                <c:pt idx="2">
                  <c:v>76157.983438092793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60432.719597235184</c:v>
                </c:pt>
                <c:pt idx="2">
                  <c:v>29630.916869937289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807532.93911272357</c:v>
                </c:pt>
                <c:pt idx="2">
                  <c:v>432714.9877323602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2547842.5185697651</c:v>
                </c:pt>
                <c:pt idx="2">
                  <c:v>754939.87256516144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451836.27227903891</c:v>
                </c:pt>
                <c:pt idx="2">
                  <c:v>168081.55503050049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607.97945347345376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784204.49622095283</c:v>
                </c:pt>
                <c:pt idx="2">
                  <c:v>606417.73735835799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9-4D80-A8C9-E15ECE778EF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1721625.1443412229</c:v>
                </c:pt>
                <c:pt idx="2">
                  <c:v>1332184.8020262157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9-4D80-A8C9-E15ECE778EF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36494.652997442659</c:v>
                </c:pt>
                <c:pt idx="2">
                  <c:v>1564.288778499671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C-4AE1-8A9C-9097131E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1899640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-4456.0528686777052</c:v>
                </c:pt>
                <c:pt idx="2">
                  <c:v>-33420.396515082793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4093172.2025398235</c:v>
                </c:pt>
                <c:pt idx="2">
                  <c:v>2679380.6676877476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6029088.3887261683</c:v>
                </c:pt>
                <c:pt idx="2">
                  <c:v>4288624.3969176989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-5188850.6936776666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-267175.93995166855</c:v>
                </c:pt>
                <c:pt idx="2">
                  <c:v>-207963.90763086351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-965946.66666666663</c:v>
                </c:pt>
                <c:pt idx="2">
                  <c:v>-1631666.666666666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6418981.0641350169</c:v>
                </c:pt>
                <c:pt idx="2">
                  <c:v>-93896.599884833326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249070.41145368532</c:v>
                </c:pt>
                <c:pt idx="2">
                  <c:v>214658.93601995503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21590.944766009092</c:v>
                </c:pt>
                <c:pt idx="2">
                  <c:v>18996.364198504853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170968.3359175018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</c:v>
                </c:pt>
                <c:pt idx="2">
                  <c:v>75985.443395327253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14412.432783722899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65820.275689989779</c:v>
                </c:pt>
                <c:pt idx="2">
                  <c:v>56989.151034252507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883591.45920908637</c:v>
                </c:pt>
                <c:pt idx="2">
                  <c:v>759855.39892948361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111977.52639575012</c:v>
                </c:pt>
                <c:pt idx="2">
                  <c:v>75985.604105956139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61589.234291461857</c:v>
                </c:pt>
                <c:pt idx="2">
                  <c:v>53130.357652113154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197847.00478896062</c:v>
                </c:pt>
                <c:pt idx="2">
                  <c:v>195662.59492287465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10867.259065585898</c:v>
                </c:pt>
                <c:pt idx="2">
                  <c:v>9498.1844828219218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126838.32883501997</c:v>
                </c:pt>
                <c:pt idx="2">
                  <c:v>170968.41017995734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6954.7525926161197</c:v>
                </c:pt>
                <c:pt idx="2">
                  <c:v>5542.2418506135282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91124.170336585899</c:v>
                </c:pt>
                <c:pt idx="2">
                  <c:v>76736.594191037104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7080234.6662581172</c:v>
                </c:pt>
                <c:pt idx="2">
                  <c:v>4048664.902096862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797078.81261254835</c:v>
                </c:pt>
                <c:pt idx="2">
                  <c:v>392196.02102091396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16223768.731980292</c:v>
                </c:pt>
                <c:pt idx="2">
                  <c:v>11666360.553300489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2533146.5837418824</c:v>
                </c:pt>
                <c:pt idx="2">
                  <c:v>2879105.5979031376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346237.18738745159</c:v>
                </c:pt>
                <c:pt idx="2">
                  <c:v>403003.97897908604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6836112.2680197069</c:v>
                </c:pt>
                <c:pt idx="2">
                  <c:v>11393520.446699511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899024.11158253078</c:v>
                </c:pt>
                <c:pt idx="2">
                  <c:v>697269.63870676316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1227194.2671304212</c:v>
                </c:pt>
                <c:pt idx="2">
                  <c:v>922709.36356099392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171306.02022248652</c:v>
                </c:pt>
                <c:pt idx="2">
                  <c:v>135719.62376410339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16922609.342285674</c:v>
                </c:pt>
                <c:pt idx="2">
                  <c:v>10621316.103992656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1841482.8831056242</c:v>
                </c:pt>
                <c:pt idx="2">
                  <c:v>1464628.3294215465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784204.49622095283</c:v>
                </c:pt>
                <c:pt idx="2">
                  <c:v>606417.73735835799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2620699.9317345098</c:v>
                </c:pt>
                <c:pt idx="2">
                  <c:v>2036799.3759522494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6014732.247022856</c:v>
                </c:pt>
                <c:pt idx="2">
                  <c:v>4767935.7209979538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5111199.4174840702</c:v>
                </c:pt>
                <c:pt idx="2">
                  <c:v>3317454.9876013855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1721625.1443412229</c:v>
                </c:pt>
                <c:pt idx="2">
                  <c:v>1332184.8020262157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161495.51348140143</c:v>
                </c:pt>
                <c:pt idx="2">
                  <c:v>113754.06087908773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809041.93471028551</c:v>
                </c:pt>
                <c:pt idx="2">
                  <c:v>715248.61467447656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826279.56033233157</c:v>
                </c:pt>
                <c:pt idx="2">
                  <c:v>649454.02227733191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2874812.4442172255</c:v>
                </c:pt>
                <c:pt idx="2">
                  <c:v>2970330.8739142935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792049.6289698272</c:v>
                </c:pt>
                <c:pt idx="2">
                  <c:v>868326.86024586018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145216.84298757912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145216.84298757912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145216.84298757912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145216.84298757912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10841.000000000004</c:v>
                </c:pt>
                <c:pt idx="2">
                  <c:v>81307.500000000029</c:v>
                </c:pt>
                <c:pt idx="3">
                  <c:v>0.6</c:v>
                </c:pt>
                <c:pt idx="4">
                  <c:v>2708</c:v>
                </c:pt>
                <c:pt idx="5">
                  <c:v>20310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60</c:v>
                </c:pt>
                <c:pt idx="2">
                  <c:v>450</c:v>
                </c:pt>
                <c:pt idx="3">
                  <c:v>0</c:v>
                </c:pt>
                <c:pt idx="4">
                  <c:v>20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44.89</c:v>
                </c:pt>
                <c:pt idx="4">
                  <c:v>22.11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817971.94534569292</c:v>
                </c:pt>
                <c:pt idx="1">
                  <c:v>27045.758448627814</c:v>
                </c:pt>
                <c:pt idx="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485996.40235160722</c:v>
                </c:pt>
                <c:pt idx="1">
                  <c:v>202843.18836470862</c:v>
                </c:pt>
                <c:pt idx="2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19815.087511041667</c:v>
                </c:pt>
                <c:pt idx="11">
                  <c:v>23272.964091633097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1926976.874477441</c:v>
                </c:pt>
                <c:pt idx="2">
                  <c:v>2134021.704381871</c:v>
                </c:pt>
                <c:pt idx="15">
                  <c:v>823764.99285714305</c:v>
                </c:pt>
                <c:pt idx="16">
                  <c:v>392806.8244127091</c:v>
                </c:pt>
                <c:pt idx="17">
                  <c:v>89764.405025586617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6532.5849353972917</c:v>
                </c:pt>
                <c:pt idx="2">
                  <c:v>10375.776869044654</c:v>
                </c:pt>
                <c:pt idx="15">
                  <c:v>4441.5</c:v>
                </c:pt>
                <c:pt idx="16">
                  <c:v>3517.5457344446954</c:v>
                </c:pt>
                <c:pt idx="17">
                  <c:v>1152.8640965605166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10480691.474373968</c:v>
                </c:pt>
                <c:pt idx="5">
                  <c:v>7119514.1300354572</c:v>
                </c:pt>
                <c:pt idx="18">
                  <c:v>0</c:v>
                </c:pt>
                <c:pt idx="19">
                  <c:v>2641880.5500020785</c:v>
                </c:pt>
                <c:pt idx="20">
                  <c:v>3439696.9965092409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0</c:v>
                </c:pt>
                <c:pt idx="5">
                  <c:v>0</c:v>
                </c:pt>
                <c:pt idx="9">
                  <c:v>1893765.2125355615</c:v>
                </c:pt>
                <c:pt idx="10">
                  <c:v>1525571.4861111147</c:v>
                </c:pt>
                <c:pt idx="11">
                  <c:v>673789.78974993015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</c:v>
                </c:pt>
                <c:pt idx="26">
                  <c:v>2499999.9999999995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2052345.9505433873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600000.00000000023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4998653.4312249422</c:v>
                </c:pt>
                <c:pt idx="5">
                  <c:v>3395575.9333028109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6364975.1187257059</c:v>
                </c:pt>
                <c:pt idx="2">
                  <c:v>5277484.9549352229</c:v>
                </c:pt>
                <c:pt idx="15">
                  <c:v>9696490.333333334</c:v>
                </c:pt>
                <c:pt idx="16">
                  <c:v>3427294.2946984568</c:v>
                </c:pt>
                <c:pt idx="17">
                  <c:v>586387.21721502463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1284072.4068269122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4839119.4159485474</c:v>
                </c:pt>
                <c:pt idx="5">
                  <c:v>3287204.7748960671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809041.93471028551</c:v>
                </c:pt>
                <c:pt idx="23">
                  <c:v>715248.61467447656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738437.3055495692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32714.581374719997</c:v>
                </c:pt>
                <c:pt idx="5">
                  <c:v>22222.953984000003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4731707.5344867064</c:v>
                </c:pt>
                <c:pt idx="2">
                  <c:v>6794458.8530864548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6275961.2089073332</c:v>
                </c:pt>
                <c:pt idx="2">
                  <c:v>4137996.4014773625</c:v>
                </c:pt>
                <c:pt idx="15">
                  <c:v>14742130.666666664</c:v>
                </c:pt>
                <c:pt idx="16">
                  <c:v>3379363.7278731791</c:v>
                </c:pt>
                <c:pt idx="17">
                  <c:v>459777.37794192904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161495.51348140143</c:v>
                </c:pt>
                <c:pt idx="11">
                  <c:v>113754.06087908773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2970330.8739142935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908664.94404977362</c:v>
                </c:pt>
                <c:pt idx="5">
                  <c:v>1185128.4445248868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441646.84855871997</c:v>
                </c:pt>
                <c:pt idx="5">
                  <c:v>575018.93433600001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839124.50566107244</c:v>
                </c:pt>
                <c:pt idx="2">
                  <c:v>1512733.9952745051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368026.31435770006</c:v>
                </c:pt>
                <c:pt idx="5">
                  <c:v>356060.01855873864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258893.41910729138</c:v>
                </c:pt>
                <c:pt idx="11">
                  <c:v>228879.55669583252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14752987.144599162</c:v>
                </c:pt>
                <c:pt idx="17">
                  <c:v>11581635.191573963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5-4B67-872B-D3A3359B9605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1719578.7837137314</c:v>
                </c:pt>
                <c:pt idx="17">
                  <c:v>1534823.0900252662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5-4B67-872B-D3A3359B9605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828800.00000000012</c:v>
                </c:pt>
                <c:pt idx="11">
                  <c:v>1399999.9999999998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5-4B67-872B-D3A3359B9605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207200.00000000003</c:v>
                </c:pt>
                <c:pt idx="11">
                  <c:v>349999.99999999994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65-4B67-872B-D3A3359B9605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868326.86024586018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65-4B67-872B-D3A3359B9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1719578.7837137314</c:v>
                </c:pt>
                <c:pt idx="2">
                  <c:v>1534823.0900252662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59285.001851880224</c:v>
                </c:pt>
                <c:pt idx="2">
                  <c:v>136369.20391162706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13002.37745204167</c:v>
                </c:pt>
                <c:pt idx="2">
                  <c:v>16374.082260121369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1265.9326566513337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309941.21680873836</c:v>
                </c:pt>
                <c:pt idx="2">
                  <c:v>366054.31257939187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1-46E5-A895-DBCA6525FD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2052345.9505433873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D-40CE-8963-2CE5135E8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150386.53466598582</c:v>
                </c:pt>
                <c:pt idx="2">
                  <c:v>117613.2349022421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817971.94534569292</c:v>
                </c:pt>
                <c:pt idx="2">
                  <c:v>485996.40235160722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5519430.086039965</c:v>
                </c:pt>
                <c:pt idx="2">
                  <c:v>8348412.5260883253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644796.10799822072</c:v>
                </c:pt>
                <c:pt idx="2">
                  <c:v>147349.11768351006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114763.14848826305</c:v>
                </c:pt>
                <c:pt idx="2">
                  <c:v>89919.810232660064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1227194.2671304212</c:v>
                </c:pt>
                <c:pt idx="2">
                  <c:v>922709.36356099392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3800037.3179096282</c:v>
                </c:pt>
                <c:pt idx="2">
                  <c:v>62104.977447957266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1337439.7243202887</c:v>
                </c:pt>
                <c:pt idx="2">
                  <c:v>939086.15398809616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27322.703414779302</c:v>
                </c:pt>
                <c:pt idx="2">
                  <c:v>32949.639784893865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2390207.8339985022</c:v>
                </c:pt>
                <c:pt idx="2">
                  <c:v>1796476.0695982594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463910.9333094554</c:v>
                </c:pt>
                <c:pt idx="2">
                  <c:v>796640.21862734342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272080.00153552275</c:v>
                </c:pt>
                <c:pt idx="2">
                  <c:v>30250.2127053187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1481761.7321659857</c:v>
                </c:pt>
                <c:pt idx="2">
                  <c:v>500864.14768866642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3679991.2256067996</c:v>
                </c:pt>
                <c:pt idx="2">
                  <c:v>2211078.469678557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87842.254782762393</c:v>
                </c:pt>
                <c:pt idx="2">
                  <c:v>147834.94076348573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137474.82233829348</c:v>
                </c:pt>
                <c:pt idx="2">
                  <c:v>76157.983438092793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60432.719597235184</c:v>
                </c:pt>
                <c:pt idx="2">
                  <c:v>29630.916869937289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807532.93911272357</c:v>
                </c:pt>
                <c:pt idx="2">
                  <c:v>432714.9877323602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2547842.5185697651</c:v>
                </c:pt>
                <c:pt idx="2">
                  <c:v>754939.87256516144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451836.27227903891</c:v>
                </c:pt>
                <c:pt idx="2">
                  <c:v>168081.55503050049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607.97945347345376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784204.49622095283</c:v>
                </c:pt>
                <c:pt idx="2">
                  <c:v>606417.73735835799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5-4DE2-86A7-0176FD856D2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1721625.1443412229</c:v>
                </c:pt>
                <c:pt idx="2">
                  <c:v>1332184.8020262157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5-4DE2-86A7-0176FD856D27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36494.652997442659</c:v>
                </c:pt>
                <c:pt idx="2">
                  <c:v>1564.288778499671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3E-4193-96EF-0D42484F4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5.2637363992480983</c:v>
                </c:pt>
                <c:pt idx="2">
                  <c:v>4.2939929930570866</c:v>
                </c:pt>
                <c:pt idx="3">
                  <c:v>7.483154704207001</c:v>
                </c:pt>
                <c:pt idx="4">
                  <c:v>7.6462644832484088</c:v>
                </c:pt>
                <c:pt idx="5">
                  <c:v>8.7096084781369978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8.2067682589721134</c:v>
                </c:pt>
                <c:pt idx="2">
                  <c:v>0.62409360162388539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17.356841436004114</c:v>
                </c:pt>
                <c:pt idx="2">
                  <c:v>9.692541999309384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2.5889068207643463E-2</c:v>
                </c:pt>
                <c:pt idx="2">
                  <c:v>0.19416801155732599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1.3888908166281677</c:v>
                </c:pt>
                <c:pt idx="2">
                  <c:v>0.31738999949028068</c:v>
                </c:pt>
                <c:pt idx="3">
                  <c:v>5.0922829580050024</c:v>
                </c:pt>
                <c:pt idx="4">
                  <c:v>10.07935124113872</c:v>
                </c:pt>
                <c:pt idx="5">
                  <c:v>9.0556213344374008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9.0612696687551963</c:v>
                </c:pt>
                <c:pt idx="2">
                  <c:v>8.0107844843541365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44.637809685126449</c:v>
                </c:pt>
                <c:pt idx="2">
                  <c:v>45.143769899352193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14.320479999999996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1157763.9191905274</c:v>
                </c:pt>
                <c:pt idx="2">
                  <c:v>1153576.8289864096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1163202.9004319054</c:v>
                </c:pt>
                <c:pt idx="2">
                  <c:v>56031.445649720801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1440548.1525203786</c:v>
                </c:pt>
                <c:pt idx="2">
                  <c:v>819679.78906191699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4326.8637672941713</c:v>
                </c:pt>
                <c:pt idx="2">
                  <c:v>32451.47825470629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1569479.6170621489</c:v>
                </c:pt>
                <c:pt idx="2">
                  <c:v>1293053.5972113092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1488854.9594638841</c:v>
                </c:pt>
                <c:pt idx="2">
                  <c:v>1516284.0799882656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100</xdr:row>
      <xdr:rowOff>31750</xdr:rowOff>
    </xdr:from>
    <xdr:to>
      <xdr:col>28</xdr:col>
      <xdr:colOff>0</xdr:colOff>
      <xdr:row>134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403495</xdr:colOff>
      <xdr:row>134</xdr:row>
      <xdr:rowOff>119494</xdr:rowOff>
    </xdr:from>
    <xdr:to>
      <xdr:col>12</xdr:col>
      <xdr:colOff>496454</xdr:colOff>
      <xdr:row>166</xdr:row>
      <xdr:rowOff>95250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31751</xdr:colOff>
      <xdr:row>137</xdr:row>
      <xdr:rowOff>15876</xdr:rowOff>
    </xdr:from>
    <xdr:to>
      <xdr:col>26</xdr:col>
      <xdr:colOff>583394</xdr:colOff>
      <xdr:row>185</xdr:row>
      <xdr:rowOff>51594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6.3510174931521793E-2</v>
          </cell>
          <cell r="J4">
            <v>6.237848677468566E-2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 refreshError="1"/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5972222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8489926.34793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5942609.9974529659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28489926.3479389"/>
    </cacheField>
    <cacheField name="Materialer og processer" numFmtId="3">
      <sharedItems containsSemiMixedTypes="0" containsString="0" containsNumber="1" minValue="0" maxValue="3066719.6149769477"/>
    </cacheField>
    <cacheField name="Produktion minus forbrug [ton]" numFmtId="3">
      <sharedItems containsSemiMixedTypes="0" containsString="0" containsNumber="1" minValue="-4828427.5390456235" maxValue="6349569.279804335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28489926.34793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942154910200387"/>
    </cacheField>
    <cacheField name="Biogasproduktion [PJ]" numFmtId="0">
      <sharedItems containsSemiMixedTypes="0" containsString="0" containsNumber="1" minValue="0" maxValue="4.0365571642308256"/>
    </cacheField>
    <cacheField name="Biomasser til energi eksl. biogas [PJ]" numFmtId="0">
      <sharedItems containsSemiMixedTypes="0" containsString="0" containsNumber="1" minValue="0" maxValue="33.94215491020038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8253.3074448803"/>
    </cacheField>
    <cacheField name="Biogasproduktion [Ton TS]" numFmtId="0">
      <sharedItems containsSemiMixedTypes="0" containsString="0" containsNumber="1" minValue="0" maxValue="562194.5911184994"/>
    </cacheField>
    <cacheField name="Biomasser til energi eksl. biogas [Ton TS]" numFmtId="0">
      <sharedItems containsSemiMixedTypes="0" containsString="0" containsNumber="1" minValue="0" maxValue="1158253.30744488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030092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538467.9176745266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05324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8489926.34793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5942609.9974529659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28489926.3479389"/>
    </cacheField>
    <cacheField name="Materialer og processer" numFmtId="3">
      <sharedItems containsSemiMixedTypes="0" containsString="0" containsNumber="1" minValue="0" maxValue="3066719.6149769477"/>
    </cacheField>
    <cacheField name="Produktion minus forbrug [ton]" numFmtId="3">
      <sharedItems containsSemiMixedTypes="0" containsString="0" containsNumber="1" minValue="-4828427.5390456235" maxValue="6349569.279804335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28489926.34793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942154910200387"/>
    </cacheField>
    <cacheField name="Biogasproduktion [PJ]" numFmtId="0">
      <sharedItems containsSemiMixedTypes="0" containsString="0" containsNumber="1" minValue="0" maxValue="4.0365571642308256"/>
    </cacheField>
    <cacheField name="Biomasser til energi eksl. biogas [PJ]" numFmtId="0">
      <sharedItems containsSemiMixedTypes="0" containsString="0" containsNumber="1" minValue="0" maxValue="33.94215491020038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8253.3074448803"/>
    </cacheField>
    <cacheField name="Biogasproduktion [Ton TS]" numFmtId="0">
      <sharedItems containsSemiMixedTypes="0" containsString="0" containsNumber="1" minValue="0" maxValue="562194.5911184994"/>
    </cacheField>
    <cacheField name="Biomasser til energi eksl. biogas [Ton TS]" numFmtId="0">
      <sharedItems containsSemiMixedTypes="0" containsString="0" containsNumber="1" minValue="0" maxValue="1158253.307444880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0879633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8489926.34793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5942609.9974529659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28489926.3479389"/>
    </cacheField>
    <cacheField name="Materialer og processer" numFmtId="3">
      <sharedItems containsSemiMixedTypes="0" containsString="0" containsNumber="1" minValue="0" maxValue="3066719.6149769477"/>
    </cacheField>
    <cacheField name="Produktion minus forbrug [ton]" numFmtId="3">
      <sharedItems containsSemiMixedTypes="0" containsString="0" containsNumber="1" minValue="-4828427.5390456235" maxValue="6349569.279804335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28489926.34793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942154910200387"/>
    </cacheField>
    <cacheField name="Biogasproduktion [PJ]" numFmtId="0">
      <sharedItems containsSemiMixedTypes="0" containsString="0" containsNumber="1" minValue="0" maxValue="4.0365571642308256"/>
    </cacheField>
    <cacheField name="Biomasser til energi eksl. biogas [PJ]" numFmtId="0">
      <sharedItems containsSemiMixedTypes="0" containsString="0" containsNumber="1" minValue="0" maxValue="33.94215491020038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8253.3074448803"/>
    </cacheField>
    <cacheField name="Biogasproduktion [Ton TS]" numFmtId="0">
      <sharedItems containsSemiMixedTypes="0" containsString="0" containsNumber="1" minValue="0" maxValue="562194.5911184994"/>
    </cacheField>
    <cacheField name="Biomasser til energi eksl. biogas [Ton TS]" numFmtId="0">
      <sharedItems containsSemiMixedTypes="0" containsString="0" containsNumber="1" minValue="0" maxValue="1158253.307444880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111111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4.8695912020228768E-5" maxValue="853064.00210361299"/>
    </cacheField>
    <cacheField name="Udbytte, hovedafgrøde" numFmtId="0">
      <sharedItems containsSemiMixedTypes="0" containsString="0" containsNumber="1" minValue="8.063312591869579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5642485523518274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122684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134259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73506157407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94824.14109362793"/>
    <n v="0"/>
    <n v="0"/>
    <n v="32579.784552999867"/>
    <n v="0"/>
    <n v="0"/>
    <n v="0"/>
    <n v="0"/>
    <n v="162244.35654062807"/>
    <n v="0"/>
    <n v="0"/>
    <n v="0"/>
    <n v="0"/>
    <n v="0"/>
    <n v="0"/>
    <n v="0"/>
    <n v="0"/>
    <n v="0"/>
    <n v="0"/>
  </r>
  <r>
    <x v="1"/>
    <x v="10"/>
    <n v="0"/>
    <x v="1"/>
    <s v="Vestdanmark"/>
    <n v="679900.90308057657"/>
    <n v="0"/>
    <n v="0"/>
    <n v="43439.71273733316"/>
    <n v="0"/>
    <n v="0"/>
    <n v="0"/>
    <n v="0"/>
    <n v="636461.19034324342"/>
    <n v="0"/>
    <n v="0"/>
    <n v="0"/>
    <n v="0"/>
    <n v="0"/>
    <n v="0"/>
    <n v="0"/>
    <n v="0"/>
    <n v="0"/>
    <n v="0"/>
  </r>
  <r>
    <x v="2"/>
    <x v="1"/>
    <n v="1"/>
    <x v="1"/>
    <s v="Vestdanmark"/>
    <n v="205702.08942290704"/>
    <n v="0"/>
    <n v="0"/>
    <n v="0"/>
    <n v="195082.24112879008"/>
    <n v="0"/>
    <n v="10619.848294116964"/>
    <n v="0"/>
    <n v="0"/>
    <n v="0"/>
    <n v="205702.08942290704"/>
    <n v="0"/>
    <n v="0.85421551176676402"/>
    <n v="0.66462763812408632"/>
    <n v="0.18958787364267771"/>
    <n v="0"/>
    <n v="57596.585038413978"/>
    <n v="54623.027516061229"/>
    <n v="2973.5575223527485"/>
  </r>
  <r>
    <x v="3"/>
    <x v="10"/>
    <n v="1"/>
    <x v="1"/>
    <s v="Vestdanmark"/>
    <n v="428489926.3479389"/>
    <n v="0"/>
    <n v="0"/>
    <n v="0"/>
    <n v="0"/>
    <n v="0"/>
    <n v="428489926.3479389"/>
    <n v="0"/>
    <n v="0"/>
    <n v="0"/>
    <n v="428489926.3479389"/>
    <n v="0"/>
    <n v="0"/>
    <n v="0"/>
    <n v="0"/>
    <n v="0"/>
    <n v="0"/>
    <n v="0"/>
    <n v="0"/>
  </r>
  <r>
    <x v="4"/>
    <x v="10"/>
    <n v="0"/>
    <x v="1"/>
    <s v="Vestdanmark"/>
    <n v="16166382.724156056"/>
    <n v="0"/>
    <n v="0"/>
    <n v="0"/>
    <n v="0"/>
    <n v="11764874.104094444"/>
    <n v="0"/>
    <n v="0"/>
    <n v="4401508.6200616118"/>
    <n v="0"/>
    <n v="0"/>
    <n v="0"/>
    <n v="0"/>
    <n v="0"/>
    <n v="0"/>
    <n v="0"/>
    <n v="0"/>
    <n v="0"/>
    <n v="0"/>
  </r>
  <r>
    <x v="5"/>
    <x v="1"/>
    <n v="1"/>
    <x v="1"/>
    <s v="Vestdanmark"/>
    <n v="1150219.4392265794"/>
    <n v="0"/>
    <n v="0"/>
    <n v="0"/>
    <n v="747642.63549727667"/>
    <n v="0"/>
    <n v="0"/>
    <n v="0"/>
    <n v="402576.80372930272"/>
    <n v="402576.80372930272"/>
    <n v="747642.63549727667"/>
    <n v="0.22867412248907362"/>
    <n v="0.65335463568306762"/>
    <n v="0.42468051319399397"/>
    <n v="0.22867412248907365"/>
    <n v="17215.547879927242"/>
    <n v="49187.279656934988"/>
    <n v="31971.731777007746"/>
    <n v="17215.547879927242"/>
  </r>
  <r>
    <x v="6"/>
    <x v="2"/>
    <n v="1"/>
    <x v="1"/>
    <s v="Vestdanmark"/>
    <n v="2606461.4802133911"/>
    <n v="0"/>
    <n v="0"/>
    <n v="0"/>
    <n v="1694199.9621387043"/>
    <n v="345356.14612827433"/>
    <n v="0"/>
    <n v="0"/>
    <n v="566905.3719464126"/>
    <n v="566905.3719464126"/>
    <n v="1694199.9621387043"/>
    <n v="1.2211141711725728"/>
    <n v="4.8704208896193419"/>
    <n v="3.6493067184467689"/>
    <n v="1.221114171172573"/>
    <n v="170071.61158392378"/>
    <n v="678331.6002255351"/>
    <n v="508259.98864161124"/>
    <n v="170071.61158392386"/>
  </r>
  <r>
    <x v="7"/>
    <x v="10"/>
    <n v="0"/>
    <x v="1"/>
    <s v="Vestdanmark"/>
    <n v="810143.42964363529"/>
    <n v="809601.73248444556"/>
    <n v="0"/>
    <n v="0"/>
    <n v="0"/>
    <n v="0"/>
    <n v="0"/>
    <n v="0"/>
    <n v="541.69715918973088"/>
    <n v="0"/>
    <n v="0"/>
    <n v="0"/>
    <n v="0"/>
    <n v="0"/>
    <n v="0"/>
    <n v="0"/>
    <n v="0"/>
    <n v="0"/>
    <n v="0"/>
  </r>
  <r>
    <x v="8"/>
    <x v="2"/>
    <n v="1"/>
    <x v="1"/>
    <s v="Vestdanmark"/>
    <n v="9271.9401550191069"/>
    <n v="0"/>
    <n v="0"/>
    <n v="0"/>
    <n v="6026.76110076242"/>
    <n v="3245.1790542566873"/>
    <n v="0"/>
    <n v="0"/>
    <n v="0"/>
    <n v="0"/>
    <n v="6026.76110076242"/>
    <n v="0"/>
    <n v="2.8343254780775584E-3"/>
    <n v="2.8343254780775584E-3"/>
    <n v="0"/>
    <n v="0"/>
    <n v="379.68594934803247"/>
    <n v="379.68594934803247"/>
    <n v="0"/>
  </r>
  <r>
    <x v="9"/>
    <x v="10"/>
    <n v="0"/>
    <x v="1"/>
    <s v="Vestdanmark"/>
    <n v="154481.48271865805"/>
    <n v="0"/>
    <n v="0"/>
    <n v="28235.813279266553"/>
    <n v="0"/>
    <n v="0"/>
    <n v="0"/>
    <n v="0"/>
    <n v="126245.66943939149"/>
    <n v="0"/>
    <n v="0"/>
    <n v="0"/>
    <n v="0"/>
    <n v="0"/>
    <n v="0"/>
    <n v="0"/>
    <n v="0"/>
    <n v="0"/>
    <n v="0"/>
  </r>
  <r>
    <x v="10"/>
    <x v="10"/>
    <n v="0"/>
    <x v="1"/>
    <s v="Vestdanmark"/>
    <n v="926499.36509059242"/>
    <n v="0"/>
    <n v="0"/>
    <n v="0"/>
    <n v="0"/>
    <n v="0"/>
    <n v="0"/>
    <n v="0"/>
    <n v="926499.36509059242"/>
    <n v="0"/>
    <n v="0"/>
    <n v="0"/>
    <n v="0"/>
    <n v="0"/>
    <n v="0"/>
    <n v="0"/>
    <n v="0"/>
    <n v="0"/>
    <n v="0"/>
  </r>
  <r>
    <x v="11"/>
    <x v="10"/>
    <n v="0"/>
    <x v="1"/>
    <s v="Vestdanmark"/>
    <n v="129276.58076711251"/>
    <n v="0"/>
    <n v="0"/>
    <n v="257923.29437791562"/>
    <n v="0"/>
    <n v="0"/>
    <n v="0"/>
    <n v="0"/>
    <n v="-128646.7136108031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033560.764952054"/>
    <n v="9338080.0380292125"/>
    <n v="0"/>
    <n v="0"/>
    <n v="0"/>
    <n v="0"/>
    <n v="0"/>
    <n v="2353861.1061256947"/>
    <n v="1341619.620797148"/>
    <n v="1341619.620797148"/>
    <n v="0"/>
    <n v="2.4684123998141527"/>
    <n v="2.4684123998141527"/>
    <n v="0"/>
    <n v="2.4684123998141527"/>
    <n v="375653.49382320145"/>
    <n v="375653.49382320145"/>
    <n v="0"/>
    <n v="375653.49382320145"/>
  </r>
  <r>
    <x v="14"/>
    <x v="10"/>
    <n v="0"/>
    <x v="1"/>
    <s v="Vestdanmark"/>
    <n v="393498.23725547997"/>
    <n v="393498.2372554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389473.3777842107"/>
    <n v="0"/>
    <n v="0"/>
    <n v="270140.71358529059"/>
    <n v="0"/>
    <n v="0"/>
    <n v="0"/>
    <n v="0"/>
    <n v="1119332.6641989201"/>
    <n v="0"/>
    <n v="0"/>
    <n v="0"/>
    <n v="0"/>
    <n v="0"/>
    <n v="0"/>
    <n v="0"/>
    <n v="0"/>
    <n v="0"/>
    <n v="0"/>
  </r>
  <r>
    <x v="16"/>
    <x v="5"/>
    <n v="1"/>
    <x v="1"/>
    <s v="Vestdanmark"/>
    <n v="2738776.3609784585"/>
    <n v="0"/>
    <n v="534046.98787814996"/>
    <n v="0"/>
    <n v="0"/>
    <n v="0"/>
    <n v="1119079.1108234245"/>
    <n v="1085650.2622768846"/>
    <n v="0"/>
    <n v="0"/>
    <n v="1119079.1108234245"/>
    <n v="0"/>
    <n v="11.566584967641599"/>
    <n v="0"/>
    <n v="11.566584967641599"/>
    <n v="0"/>
    <n v="951217.24419991078"/>
    <n v="0"/>
    <n v="951217.24419991078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1828597.931611574"/>
    <n v="0"/>
    <n v="0"/>
    <n v="0"/>
    <n v="0"/>
    <n v="0"/>
    <n v="0"/>
    <n v="-1828597.931611574"/>
    <n v="0"/>
    <n v="0"/>
    <n v="0"/>
    <n v="0"/>
    <n v="0"/>
    <n v="0"/>
    <n v="0"/>
    <n v="0"/>
    <n v="0"/>
    <n v="0"/>
  </r>
  <r>
    <x v="19"/>
    <x v="1"/>
    <n v="1"/>
    <x v="1"/>
    <s v="Vestdanmark"/>
    <n v="434537.51475409197"/>
    <n v="0"/>
    <n v="0"/>
    <n v="0"/>
    <n v="415611.46668729465"/>
    <n v="0"/>
    <n v="0"/>
    <n v="0"/>
    <n v="18926.048066797317"/>
    <n v="18926.048066797317"/>
    <n v="415611.46668729465"/>
    <n v="8.2009026659681461E-2"/>
    <n v="1.612772764109391"/>
    <n v="1.5307637374497096"/>
    <n v="8.200902665968135E-2"/>
    <n v="7948.940188054873"/>
    <n v="182505.75619671863"/>
    <n v="174556.81600866374"/>
    <n v="7948.9401880548976"/>
  </r>
  <r>
    <x v="20"/>
    <x v="10"/>
    <n v="0"/>
    <x v="1"/>
    <s v="Vestdanmark"/>
    <n v="595525.47886913677"/>
    <n v="0"/>
    <n v="0"/>
    <n v="0"/>
    <n v="0"/>
    <n v="0"/>
    <n v="0"/>
    <n v="0"/>
    <n v="595525.47886913677"/>
    <n v="0"/>
    <n v="0"/>
    <n v="0"/>
    <n v="0"/>
    <n v="0"/>
    <n v="0"/>
    <n v="0"/>
    <n v="0"/>
    <n v="0"/>
    <n v="0"/>
  </r>
  <r>
    <x v="21"/>
    <x v="10"/>
    <n v="0"/>
    <x v="1"/>
    <s v="Vestdanmark"/>
    <n v="1991290.2581626636"/>
    <n v="0"/>
    <n v="0"/>
    <n v="123531.68309679118"/>
    <n v="0"/>
    <n v="0"/>
    <n v="0"/>
    <n v="0"/>
    <n v="1867758.5750658724"/>
    <n v="0"/>
    <n v="0"/>
    <n v="0"/>
    <n v="0"/>
    <n v="0"/>
    <n v="0"/>
    <n v="0"/>
    <n v="0"/>
    <n v="0"/>
    <n v="0"/>
  </r>
  <r>
    <x v="22"/>
    <x v="5"/>
    <n v="1"/>
    <x v="1"/>
    <s v="Vestdanmark"/>
    <n v="4561269.4761999724"/>
    <n v="4453697.1570319049"/>
    <n v="0"/>
    <n v="295933.04302308214"/>
    <n v="0"/>
    <n v="0"/>
    <n v="0"/>
    <n v="0"/>
    <n v="-188360.7238550148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228477.143126321"/>
    <n v="0"/>
    <n v="0"/>
    <n v="-1228477.143126321"/>
    <n v="0"/>
    <n v="0"/>
    <n v="0"/>
    <n v="0"/>
    <n v="0"/>
    <n v="0"/>
    <n v="0"/>
    <n v="0"/>
    <n v="0"/>
    <n v="0"/>
  </r>
  <r>
    <x v="24"/>
    <x v="2"/>
    <n v="1"/>
    <x v="1"/>
    <s v="Vestdanmark"/>
    <n v="9142476.9191584084"/>
    <n v="0"/>
    <n v="0"/>
    <n v="0"/>
    <n v="5942609.9974529659"/>
    <n v="3199866.9217054429"/>
    <n v="0"/>
    <n v="0"/>
    <n v="0"/>
    <n v="0"/>
    <n v="5942609.9974529659"/>
    <n v="0"/>
    <n v="3.008089754610717"/>
    <n v="3.008089754610717"/>
    <n v="0"/>
    <n v="0"/>
    <n v="451638.3598064254"/>
    <n v="451638.3598064254"/>
    <n v="0"/>
  </r>
  <r>
    <x v="25"/>
    <x v="10"/>
    <n v="0"/>
    <x v="1"/>
    <s v="Vestdanmark"/>
    <n v="1143513.3275141963"/>
    <n v="1144082.0425725533"/>
    <n v="0"/>
    <n v="0"/>
    <n v="0"/>
    <n v="0"/>
    <n v="0"/>
    <n v="0"/>
    <n v="-568.71505835698918"/>
    <n v="0"/>
    <n v="0"/>
    <n v="0"/>
    <n v="0"/>
    <n v="0"/>
    <n v="0"/>
    <n v="0"/>
    <n v="0"/>
    <n v="0"/>
    <n v="0"/>
  </r>
  <r>
    <x v="26"/>
    <x v="4"/>
    <n v="1"/>
    <x v="1"/>
    <s v="Vestdanmark"/>
    <n v="3911198.5394176375"/>
    <n v="4311555.6383084813"/>
    <n v="0"/>
    <n v="0"/>
    <n v="0"/>
    <n v="0"/>
    <n v="0"/>
    <n v="0"/>
    <n v="-400357.0988908438"/>
    <n v="0"/>
    <n v="0"/>
    <n v="0"/>
    <n v="0"/>
    <n v="0"/>
    <n v="0"/>
    <n v="0"/>
    <n v="0"/>
    <n v="0"/>
    <n v="0"/>
  </r>
  <r>
    <x v="27"/>
    <x v="10"/>
    <n v="0"/>
    <x v="1"/>
    <s v="Vestdanmark"/>
    <n v="2206387.2508722222"/>
    <n v="0"/>
    <n v="0"/>
    <n v="472406.87601849809"/>
    <n v="0"/>
    <n v="0"/>
    <n v="0"/>
    <n v="0"/>
    <n v="1733980.3748537241"/>
    <n v="0"/>
    <n v="0"/>
    <n v="0"/>
    <n v="0"/>
    <n v="0"/>
    <n v="0"/>
    <n v="0"/>
    <n v="0"/>
    <n v="0"/>
    <n v="0"/>
  </r>
  <r>
    <x v="28"/>
    <x v="6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</r>
  <r>
    <x v="29"/>
    <x v="10"/>
    <n v="0"/>
    <x v="1"/>
    <s v="Vestdanmark"/>
    <n v="71517.739783611425"/>
    <n v="0"/>
    <n v="0"/>
    <n v="48022.602431121806"/>
    <n v="0"/>
    <n v="0"/>
    <n v="0"/>
    <n v="0"/>
    <n v="23495.137352489619"/>
    <n v="0"/>
    <n v="0"/>
    <n v="0"/>
    <n v="0"/>
    <n v="0"/>
    <n v="0"/>
    <n v="0"/>
    <n v="0"/>
    <n v="0"/>
    <n v="0"/>
  </r>
  <r>
    <x v="30"/>
    <x v="10"/>
    <n v="0"/>
    <x v="1"/>
    <s v="Vestdanmark"/>
    <n v="1306243.4433962547"/>
    <n v="0"/>
    <n v="0"/>
    <n v="0"/>
    <n v="0"/>
    <n v="0"/>
    <n v="0"/>
    <n v="0"/>
    <n v="1306243.4433962547"/>
    <n v="0"/>
    <n v="0"/>
    <n v="0"/>
    <n v="0"/>
    <n v="0"/>
    <n v="0"/>
    <n v="0"/>
    <n v="0"/>
    <n v="0"/>
    <n v="0"/>
  </r>
  <r>
    <x v="31"/>
    <x v="7"/>
    <n v="1"/>
    <x v="1"/>
    <s v="Vestdanmark"/>
    <n v="124648.5815119847"/>
    <n v="0"/>
    <n v="0"/>
    <n v="0"/>
    <n v="0"/>
    <n v="0"/>
    <n v="124648.5815119847"/>
    <n v="0"/>
    <n v="0"/>
    <n v="0"/>
    <n v="124648.5815119847"/>
    <n v="0"/>
    <n v="2.2935338998205181"/>
    <n v="0"/>
    <n v="2.2935338998205181"/>
    <n v="0"/>
    <n v="51729.161327473652"/>
    <n v="0"/>
    <n v="51729.161327473652"/>
  </r>
  <r>
    <x v="32"/>
    <x v="8"/>
    <n v="1"/>
    <x v="1"/>
    <s v="Vestdanmark"/>
    <n v="607964.14687505551"/>
    <n v="0"/>
    <n v="0"/>
    <n v="0"/>
    <n v="0"/>
    <n v="0"/>
    <n v="607964.14687505551"/>
    <n v="0"/>
    <n v="0"/>
    <n v="0"/>
    <n v="607964.14687505551"/>
    <n v="0"/>
    <n v="5.448227276210317"/>
    <n v="0"/>
    <n v="5.448227276210317"/>
    <n v="0"/>
    <n v="0"/>
    <n v="0"/>
    <n v="0"/>
  </r>
  <r>
    <x v="33"/>
    <x v="8"/>
    <n v="1"/>
    <x v="1"/>
    <s v="Vestdanmark"/>
    <n v="151991.03671876388"/>
    <n v="0"/>
    <n v="0"/>
    <n v="0"/>
    <n v="0"/>
    <n v="0"/>
    <n v="151991.03671876388"/>
    <n v="0"/>
    <n v="0"/>
    <n v="0"/>
    <n v="151991.03671876388"/>
    <n v="0"/>
    <n v="5.0565246615808173"/>
    <n v="0"/>
    <n v="5.0565246615808173"/>
    <n v="0"/>
    <n v="0"/>
    <n v="0"/>
    <n v="0"/>
  </r>
  <r>
    <x v="34"/>
    <x v="10"/>
    <n v="0"/>
    <x v="1"/>
    <s v="Vestdanmark"/>
    <n v="3435795.4650117112"/>
    <n v="0"/>
    <n v="0"/>
    <n v="0"/>
    <n v="0"/>
    <n v="0"/>
    <n v="0"/>
    <n v="0"/>
    <n v="3435795.4650117112"/>
    <n v="0"/>
    <n v="0"/>
    <n v="0"/>
    <n v="0"/>
    <n v="0"/>
    <n v="0"/>
    <n v="0"/>
    <n v="0"/>
    <n v="0"/>
    <n v="0"/>
  </r>
  <r>
    <x v="35"/>
    <x v="10"/>
    <n v="0"/>
    <x v="1"/>
    <s v="Vestdanmark"/>
    <n v="611488.80572798639"/>
    <n v="0"/>
    <n v="0"/>
    <n v="0"/>
    <n v="0"/>
    <n v="0"/>
    <n v="0"/>
    <n v="611488.8057279863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05744.40286399319"/>
    <n v="327903.85901311738"/>
    <n v="0"/>
    <n v="0"/>
    <n v="0"/>
    <n v="0"/>
    <n v="0"/>
    <n v="0"/>
    <n v="-22159.456149124191"/>
    <n v="0"/>
    <n v="0"/>
    <n v="0"/>
    <n v="0"/>
    <n v="0"/>
    <n v="0"/>
    <n v="0"/>
    <n v="0"/>
    <n v="0"/>
    <n v="0"/>
  </r>
  <r>
    <x v="37"/>
    <x v="9"/>
    <n v="1"/>
    <x v="1"/>
    <s v="Vestdanmark"/>
    <n v="195676.41783295566"/>
    <n v="0"/>
    <n v="0"/>
    <n v="0"/>
    <n v="0"/>
    <n v="0"/>
    <n v="195676.41783295566"/>
    <n v="0"/>
    <n v="0"/>
    <n v="0"/>
    <n v="195676.41783295566"/>
    <n v="0"/>
    <n v="6.8486746241534471"/>
    <n v="0"/>
    <n v="6.8486746241534471"/>
    <n v="0"/>
    <n v="0"/>
    <n v="0"/>
    <n v="0"/>
  </r>
  <r>
    <x v="38"/>
    <x v="4"/>
    <n v="1"/>
    <x v="1"/>
    <s v="Vestdanmark"/>
    <n v="618312.90012796305"/>
    <n v="657932.41592395958"/>
    <n v="0"/>
    <n v="0"/>
    <n v="0"/>
    <n v="0"/>
    <n v="0"/>
    <n v="0"/>
    <n v="-39619.515795996529"/>
    <n v="0"/>
    <n v="0"/>
    <n v="0"/>
    <n v="0"/>
    <n v="0"/>
    <n v="0"/>
    <n v="0"/>
    <n v="0"/>
    <n v="0"/>
    <n v="0"/>
  </r>
  <r>
    <x v="39"/>
    <x v="10"/>
    <n v="0"/>
    <x v="1"/>
    <s v="Vestdanmark"/>
    <n v="123110.59014042643"/>
    <n v="0"/>
    <n v="0"/>
    <n v="0"/>
    <n v="0"/>
    <n v="0"/>
    <n v="0"/>
    <n v="0"/>
    <n v="123110.59014042643"/>
    <n v="0"/>
    <n v="0"/>
    <n v="0"/>
    <n v="0"/>
    <n v="0"/>
    <n v="0"/>
    <n v="0"/>
    <n v="0"/>
    <n v="0"/>
    <n v="0"/>
  </r>
  <r>
    <x v="40"/>
    <x v="10"/>
    <n v="0"/>
    <x v="1"/>
    <s v="Vestdanmark"/>
    <n v="81653.889040476832"/>
    <n v="29148.017574479996"/>
    <n v="0"/>
    <n v="0"/>
    <n v="0"/>
    <n v="0"/>
    <n v="0"/>
    <n v="0"/>
    <n v="52505.871465996839"/>
    <n v="0"/>
    <n v="0"/>
    <n v="0"/>
    <n v="0"/>
    <n v="0"/>
    <n v="0"/>
    <n v="0"/>
    <n v="0"/>
    <n v="0"/>
    <n v="0"/>
  </r>
  <r>
    <x v="41"/>
    <x v="1"/>
    <n v="1"/>
    <x v="1"/>
    <s v="Vestdanmark"/>
    <n v="3938045.0957457959"/>
    <n v="0"/>
    <n v="0"/>
    <n v="0"/>
    <n v="2559729.3122347672"/>
    <n v="0"/>
    <n v="0"/>
    <n v="0"/>
    <n v="1378315.7835110286"/>
    <n v="1378315.7835110286"/>
    <n v="2559729.3122347672"/>
    <n v="0.68779335912983852"/>
    <n v="1.9651238832281099"/>
    <n v="1.2773305240982713"/>
    <n v="0.68779335912983863"/>
    <n v="82698.947010661708"/>
    <n v="236282.70574474774"/>
    <n v="153583.75873408603"/>
    <n v="82698.947010661708"/>
  </r>
  <r>
    <x v="42"/>
    <x v="2"/>
    <n v="1"/>
    <x v="1"/>
    <s v="Vestdanmark"/>
    <n v="8433355.9839573242"/>
    <n v="0"/>
    <n v="0"/>
    <n v="0"/>
    <n v="5481681.3895722609"/>
    <n v="2951674.5943850633"/>
    <n v="0"/>
    <n v="0"/>
    <n v="0"/>
    <n v="0"/>
    <n v="5481681.3895722609"/>
    <n v="0"/>
    <n v="2.3615083426277304"/>
    <n v="2.3615083426277304"/>
    <n v="0"/>
    <n v="0"/>
    <n v="274084.06947861303"/>
    <n v="274084.06947861303"/>
    <n v="0"/>
  </r>
  <r>
    <x v="43"/>
    <x v="10"/>
    <n v="0"/>
    <x v="1"/>
    <s v="Vestdanmark"/>
    <n v="864230.08073603199"/>
    <n v="0"/>
    <n v="0"/>
    <n v="97500.435238944279"/>
    <n v="0"/>
    <n v="0"/>
    <n v="0"/>
    <n v="0"/>
    <n v="766729.64549708774"/>
    <n v="0"/>
    <n v="0"/>
    <n v="0"/>
    <n v="0"/>
    <n v="0"/>
    <n v="0"/>
    <n v="0"/>
    <n v="0"/>
    <n v="0"/>
    <n v="0"/>
  </r>
  <r>
    <x v="44"/>
    <x v="6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</r>
  <r>
    <x v="47"/>
    <x v="10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980.58679378763"/>
    <n v="0"/>
    <n v="0"/>
    <n v="33849.968886444818"/>
    <n v="0"/>
    <n v="0"/>
    <n v="0"/>
    <n v="0"/>
    <n v="133130.61790734282"/>
    <n v="0"/>
    <n v="0"/>
    <n v="0"/>
    <n v="0"/>
    <n v="0"/>
    <n v="0"/>
    <n v="0"/>
    <n v="0"/>
    <n v="0"/>
    <n v="0"/>
  </r>
  <r>
    <x v="1"/>
    <x v="10"/>
    <n v="0"/>
    <x v="2"/>
    <s v="Vestdanmark"/>
    <n v="512449.0981881597"/>
    <n v="0"/>
    <n v="0"/>
    <n v="112833.22962148272"/>
    <n v="0"/>
    <n v="0"/>
    <n v="0"/>
    <n v="0"/>
    <n v="399615.86856667697"/>
    <n v="0"/>
    <n v="0"/>
    <n v="0"/>
    <n v="0"/>
    <n v="0"/>
    <n v="0"/>
    <n v="0"/>
    <n v="0"/>
    <n v="0"/>
    <n v="0"/>
  </r>
  <r>
    <x v="2"/>
    <x v="1"/>
    <n v="1"/>
    <x v="2"/>
    <s v="Vestdanmark"/>
    <n v="209913.46379772766"/>
    <n v="0"/>
    <n v="0"/>
    <n v="0"/>
    <n v="197484.23354298095"/>
    <n v="0"/>
    <n v="12429.230254746712"/>
    <n v="0"/>
    <n v="0"/>
    <n v="0"/>
    <n v="209913.46379772766"/>
    <n v="0"/>
    <n v="0.89470036950988652"/>
    <n v="0.67281101009991739"/>
    <n v="0.22188935940996912"/>
    <n v="0"/>
    <n v="58775.769863363748"/>
    <n v="55295.585392034671"/>
    <n v="3480.1844713290775"/>
  </r>
  <r>
    <x v="3"/>
    <x v="10"/>
    <n v="1"/>
    <x v="2"/>
    <s v="Vestdanmark"/>
    <n v="418368241.60967106"/>
    <n v="0"/>
    <n v="0"/>
    <n v="0"/>
    <n v="0"/>
    <n v="0"/>
    <n v="418368241.60967106"/>
    <n v="0"/>
    <n v="0"/>
    <n v="0"/>
    <n v="418368241.60967106"/>
    <n v="0"/>
    <n v="0"/>
    <n v="0"/>
    <n v="0"/>
    <n v="0"/>
    <n v="0"/>
    <n v="0"/>
    <n v="0"/>
  </r>
  <r>
    <x v="4"/>
    <x v="10"/>
    <n v="0"/>
    <x v="2"/>
    <s v="Vestdanmark"/>
    <n v="15158237.369996985"/>
    <n v="0"/>
    <n v="0"/>
    <n v="0"/>
    <n v="0"/>
    <n v="8808668.0901926495"/>
    <n v="0"/>
    <n v="0"/>
    <n v="6349569.2798043359"/>
    <n v="0"/>
    <n v="0"/>
    <n v="0"/>
    <n v="0"/>
    <n v="0"/>
    <n v="0"/>
    <n v="0"/>
    <n v="0"/>
    <n v="0"/>
    <n v="0"/>
  </r>
  <r>
    <x v="5"/>
    <x v="1"/>
    <n v="1"/>
    <x v="2"/>
    <s v="Vestdanmark"/>
    <n v="1498559.3273214886"/>
    <n v="0"/>
    <n v="0"/>
    <n v="0"/>
    <n v="1348703.3945893398"/>
    <n v="0"/>
    <n v="0"/>
    <n v="0"/>
    <n v="149855.93273214879"/>
    <n v="149855.93273214879"/>
    <n v="1348703.3945893398"/>
    <n v="8.5122077575905453E-2"/>
    <n v="0.85122077575905486"/>
    <n v="0.76609869818314946"/>
    <n v="8.5122077575905397E-2"/>
    <n v="6408.3473293612469"/>
    <n v="64083.473293612493"/>
    <n v="57675.125964251252"/>
    <n v="6408.3473293612406"/>
  </r>
  <r>
    <x v="6"/>
    <x v="2"/>
    <n v="1"/>
    <x v="2"/>
    <s v="Vestdanmark"/>
    <n v="2082202.1893277755"/>
    <n v="0"/>
    <n v="0"/>
    <n v="0"/>
    <n v="1873981.9703949981"/>
    <n v="78826.225738837195"/>
    <n v="0"/>
    <n v="0"/>
    <n v="129393.99319394026"/>
    <n v="129393.99319394026"/>
    <n v="1873981.9703949981"/>
    <n v="0.27871466133974732"/>
    <n v="4.3152718255705729"/>
    <n v="4.0365571642308256"/>
    <n v="0.27871466133974732"/>
    <n v="38818.197958182078"/>
    <n v="601012.78907668148"/>
    <n v="562194.5911184994"/>
    <n v="38818.197958182078"/>
  </r>
  <r>
    <x v="7"/>
    <x v="10"/>
    <n v="0"/>
    <x v="2"/>
    <s v="Vestdanmark"/>
    <n v="1055492.501306559"/>
    <n v="1056621.1648235293"/>
    <n v="0"/>
    <n v="0"/>
    <n v="0"/>
    <n v="0"/>
    <n v="0"/>
    <n v="0"/>
    <n v="-1128.6635169703513"/>
    <n v="0"/>
    <n v="0"/>
    <n v="0"/>
    <n v="0"/>
    <n v="0"/>
    <n v="0"/>
    <n v="0"/>
    <n v="0"/>
    <n v="0"/>
    <n v="0"/>
  </r>
  <r>
    <x v="8"/>
    <x v="2"/>
    <n v="1"/>
    <x v="2"/>
    <s v="Vestdanmark"/>
    <n v="10635.968089703798"/>
    <n v="0"/>
    <n v="0"/>
    <n v="0"/>
    <n v="9572.3712807334177"/>
    <n v="1063.5968089703795"/>
    <n v="0"/>
    <n v="0"/>
    <n v="0"/>
    <n v="0"/>
    <n v="9572.3712807334177"/>
    <n v="0"/>
    <n v="4.5017904896161188E-3"/>
    <n v="4.5017904896161188E-3"/>
    <n v="0"/>
    <n v="0"/>
    <n v="603.05939068620535"/>
    <n v="603.05939068620535"/>
    <n v="0"/>
  </r>
  <r>
    <x v="9"/>
    <x v="10"/>
    <n v="0"/>
    <x v="2"/>
    <s v="Vestdanmark"/>
    <n v="114630.7911507355"/>
    <n v="0"/>
    <n v="0"/>
    <n v="18335.399813490942"/>
    <n v="0"/>
    <n v="0"/>
    <n v="0"/>
    <n v="0"/>
    <n v="96295.391337244568"/>
    <n v="0"/>
    <n v="0"/>
    <n v="0"/>
    <n v="0"/>
    <n v="0"/>
    <n v="0"/>
    <n v="0"/>
    <n v="0"/>
    <n v="0"/>
    <n v="0"/>
  </r>
  <r>
    <x v="10"/>
    <x v="10"/>
    <n v="0"/>
    <x v="2"/>
    <s v="Vestdanmark"/>
    <n v="678133.0288987807"/>
    <n v="0"/>
    <n v="0"/>
    <n v="0"/>
    <n v="0"/>
    <n v="0"/>
    <n v="0"/>
    <n v="0"/>
    <n v="678133.0288987807"/>
    <n v="0"/>
    <n v="0"/>
    <n v="0"/>
    <n v="0"/>
    <n v="0"/>
    <n v="0"/>
    <n v="0"/>
    <n v="0"/>
    <n v="0"/>
    <n v="0"/>
  </r>
  <r>
    <x v="11"/>
    <x v="10"/>
    <n v="0"/>
    <x v="2"/>
    <s v="Vestdanmark"/>
    <n v="99745.33232665222"/>
    <n v="0"/>
    <n v="0"/>
    <n v="267978.92035102146"/>
    <n v="0"/>
    <n v="0"/>
    <n v="0"/>
    <n v="0"/>
    <n v="-168233.58802436924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7806013.0843895487"/>
    <n v="6347522.3700933382"/>
    <n v="0"/>
    <n v="0"/>
    <n v="0"/>
    <n v="0"/>
    <n v="0"/>
    <n v="3066719.6149769477"/>
    <n v="-1608228.9006807376"/>
    <n v="0"/>
    <n v="0"/>
    <n v="0"/>
    <n v="0"/>
    <n v="0"/>
    <n v="0"/>
    <n v="0"/>
    <n v="0"/>
    <n v="0"/>
    <n v="0"/>
  </r>
  <r>
    <x v="14"/>
    <x v="10"/>
    <n v="0"/>
    <x v="2"/>
    <s v="Vestdanmark"/>
    <n v="512667.7863489"/>
    <n v="512667.786348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076409.0953461644"/>
    <n v="0"/>
    <n v="0"/>
    <n v="280672.65868343826"/>
    <n v="0"/>
    <n v="0"/>
    <n v="0"/>
    <n v="0"/>
    <n v="795736.4366627261"/>
    <n v="0"/>
    <n v="0"/>
    <n v="0"/>
    <n v="0"/>
    <n v="0"/>
    <n v="0"/>
    <n v="0"/>
    <n v="0"/>
    <n v="0"/>
    <n v="0"/>
  </r>
  <r>
    <x v="16"/>
    <x v="5"/>
    <n v="1"/>
    <x v="2"/>
    <s v="Vestdanmark"/>
    <n v="2628820.8537958581"/>
    <n v="0"/>
    <n v="353380.39040849992"/>
    <n v="0"/>
    <n v="0"/>
    <n v="0"/>
    <n v="483071.86454684939"/>
    <n v="1792368.5988405086"/>
    <n v="0"/>
    <n v="0"/>
    <n v="483071.86454684939"/>
    <n v="0"/>
    <n v="4.9929372398407832"/>
    <n v="0"/>
    <n v="4.9929372398407832"/>
    <n v="0"/>
    <n v="410611.08486482198"/>
    <n v="0"/>
    <n v="410611.08486482198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49165.19104178954"/>
    <n v="0"/>
    <n v="0"/>
    <n v="0"/>
    <n v="327578.03456131206"/>
    <n v="0"/>
    <n v="0"/>
    <n v="0"/>
    <n v="21587.156480477483"/>
    <n v="21587.156480477483"/>
    <n v="327578.03456131206"/>
    <n v="9.3539955360251406E-2"/>
    <n v="1.3000624329241111"/>
    <n v="1.2065224775638597"/>
    <n v="9.3539955360251392E-2"/>
    <n v="9066.6057218005426"/>
    <n v="146649.38023755161"/>
    <n v="137582.77451575105"/>
    <n v="9066.605721800559"/>
  </r>
  <r>
    <x v="20"/>
    <x v="10"/>
    <n v="0"/>
    <x v="2"/>
    <s v="Vestdanmark"/>
    <n v="445678.82311442285"/>
    <n v="0"/>
    <n v="0"/>
    <n v="0"/>
    <n v="0"/>
    <n v="0"/>
    <n v="0"/>
    <n v="0"/>
    <n v="445678.82311442285"/>
    <n v="0"/>
    <n v="0"/>
    <n v="0"/>
    <n v="0"/>
    <n v="0"/>
    <n v="0"/>
    <n v="0"/>
    <n v="0"/>
    <n v="0"/>
    <n v="0"/>
  </r>
  <r>
    <x v="21"/>
    <x v="10"/>
    <n v="0"/>
    <x v="2"/>
    <s v="Vestdanmark"/>
    <n v="1496919.3793012851"/>
    <n v="0"/>
    <n v="0"/>
    <n v="128347.79869443661"/>
    <n v="0"/>
    <n v="0"/>
    <n v="0"/>
    <n v="0"/>
    <n v="1368571.5806068485"/>
    <n v="0"/>
    <n v="0"/>
    <n v="0"/>
    <n v="0"/>
    <n v="0"/>
    <n v="0"/>
    <n v="0"/>
    <n v="0"/>
    <n v="0"/>
    <n v="0"/>
  </r>
  <r>
    <x v="22"/>
    <x v="5"/>
    <n v="1"/>
    <x v="2"/>
    <s v="Vestdanmark"/>
    <n v="3504131.9697836237"/>
    <n v="3027382.7402155623"/>
    <n v="0"/>
    <n v="307470.55071854044"/>
    <n v="0"/>
    <n v="0"/>
    <n v="0"/>
    <n v="0"/>
    <n v="169278.67884952109"/>
    <n v="169278.67884952109"/>
    <n v="0"/>
    <n v="0.57975577604457096"/>
    <n v="0.57975577604457096"/>
    <n v="0"/>
    <n v="0.57975577604457096"/>
    <n v="52476.390443351542"/>
    <n v="52476.390443351542"/>
    <n v="0"/>
    <n v="52476.390443351542"/>
  </r>
  <r>
    <x v="23"/>
    <x v="10"/>
    <n v="0"/>
    <x v="2"/>
    <s v="Vestdanmark"/>
    <n v="0"/>
    <n v="0"/>
    <n v="0"/>
    <n v="0"/>
    <n v="0"/>
    <n v="1105939.1537963203"/>
    <n v="0"/>
    <n v="0"/>
    <n v="-1105939.1537963203"/>
    <n v="0"/>
    <n v="0"/>
    <n v="0"/>
    <n v="0"/>
    <n v="0"/>
    <n v="0"/>
    <n v="0"/>
    <n v="0"/>
    <n v="0"/>
    <n v="0"/>
  </r>
  <r>
    <x v="24"/>
    <x v="2"/>
    <n v="1"/>
    <x v="2"/>
    <s v="Vestdanmark"/>
    <n v="5474759.0908073736"/>
    <n v="0"/>
    <n v="0"/>
    <n v="0"/>
    <n v="4927283.1817266364"/>
    <n v="547475.90908073727"/>
    <n v="0"/>
    <n v="0"/>
    <n v="0"/>
    <n v="0"/>
    <n v="4927283.1817266364"/>
    <n v="0"/>
    <n v="2.4941414737582064"/>
    <n v="2.4941414737582064"/>
    <n v="0"/>
    <n v="0"/>
    <n v="374473.52181122435"/>
    <n v="374473.52181122435"/>
    <n v="0"/>
  </r>
  <r>
    <x v="25"/>
    <x v="10"/>
    <n v="0"/>
    <x v="2"/>
    <s v="Vestdanmark"/>
    <n v="687066.23012129939"/>
    <n v="777685.16963622137"/>
    <n v="0"/>
    <n v="0"/>
    <n v="0"/>
    <n v="0"/>
    <n v="0"/>
    <n v="0"/>
    <n v="-90618.939514921978"/>
    <n v="0"/>
    <n v="0"/>
    <n v="0"/>
    <n v="0"/>
    <n v="0"/>
    <n v="0"/>
    <n v="0"/>
    <n v="0"/>
    <n v="0"/>
    <n v="0"/>
  </r>
  <r>
    <x v="26"/>
    <x v="4"/>
    <n v="1"/>
    <x v="2"/>
    <s v="Vestdanmark"/>
    <n v="2438121.5770907253"/>
    <n v="2930762.614221612"/>
    <n v="0"/>
    <n v="0"/>
    <n v="0"/>
    <n v="0"/>
    <n v="0"/>
    <n v="0"/>
    <n v="-492641.03713088669"/>
    <n v="0"/>
    <n v="0"/>
    <n v="0"/>
    <n v="0"/>
    <n v="0"/>
    <n v="0"/>
    <n v="0"/>
    <n v="0"/>
    <n v="0"/>
    <n v="0"/>
  </r>
  <r>
    <x v="27"/>
    <x v="10"/>
    <n v="0"/>
    <x v="2"/>
    <s v="Vestdanmark"/>
    <n v="1325681.2440829689"/>
    <n v="0"/>
    <n v="0"/>
    <n v="490824.54885344987"/>
    <n v="0"/>
    <n v="0"/>
    <n v="0"/>
    <n v="0"/>
    <n v="834856.69522951904"/>
    <n v="0"/>
    <n v="0"/>
    <n v="0"/>
    <n v="0"/>
    <n v="0"/>
    <n v="0"/>
    <n v="0"/>
    <n v="0"/>
    <n v="0"/>
    <n v="0"/>
  </r>
  <r>
    <x v="28"/>
    <x v="6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</r>
  <r>
    <x v="29"/>
    <x v="10"/>
    <n v="0"/>
    <x v="2"/>
    <s v="Vestdanmark"/>
    <n v="39228.436179566699"/>
    <n v="0"/>
    <n v="0"/>
    <n v="31184.283836637289"/>
    <n v="0"/>
    <n v="0"/>
    <n v="0"/>
    <n v="0"/>
    <n v="8044.1523429294102"/>
    <n v="0"/>
    <n v="0"/>
    <n v="0"/>
    <n v="0"/>
    <n v="0"/>
    <n v="0"/>
    <n v="0"/>
    <n v="0"/>
    <n v="0"/>
    <n v="0"/>
  </r>
  <r>
    <x v="30"/>
    <x v="10"/>
    <n v="0"/>
    <x v="2"/>
    <s v="Vestdanmark"/>
    <n v="979071.82930248126"/>
    <n v="0"/>
    <n v="0"/>
    <n v="0"/>
    <n v="0"/>
    <n v="0"/>
    <n v="0"/>
    <n v="0"/>
    <n v="979071.82930248126"/>
    <n v="0"/>
    <n v="0"/>
    <n v="0"/>
    <n v="0"/>
    <n v="0"/>
    <n v="0"/>
    <n v="0"/>
    <n v="0"/>
    <n v="0"/>
    <n v="0"/>
  </r>
  <r>
    <x v="31"/>
    <x v="7"/>
    <n v="1"/>
    <x v="2"/>
    <s v="Vestdanmark"/>
    <n v="83602.19105177233"/>
    <n v="0"/>
    <n v="0"/>
    <n v="0"/>
    <n v="0"/>
    <n v="0"/>
    <n v="83602.19105177233"/>
    <n v="0"/>
    <n v="0"/>
    <n v="0"/>
    <n v="83602.19105177233"/>
    <n v="0"/>
    <n v="1.5382803153526106"/>
    <n v="0"/>
    <n v="1.5382803153526106"/>
    <n v="0"/>
    <n v="34694.909286485519"/>
    <n v="0"/>
    <n v="34694.909286485519"/>
  </r>
  <r>
    <x v="32"/>
    <x v="8"/>
    <n v="1"/>
    <x v="2"/>
    <s v="Vestdanmark"/>
    <n v="1003726.4153506849"/>
    <n v="0"/>
    <n v="0"/>
    <n v="0"/>
    <n v="0"/>
    <n v="0"/>
    <n v="1003726.4153506849"/>
    <n v="0"/>
    <n v="0"/>
    <n v="0"/>
    <n v="1003726.4153506849"/>
    <n v="0"/>
    <n v="8.9948225764212069"/>
    <n v="0"/>
    <n v="8.9948225764212069"/>
    <n v="0"/>
    <n v="0"/>
    <n v="0"/>
    <n v="0"/>
  </r>
  <r>
    <x v="33"/>
    <x v="8"/>
    <n v="1"/>
    <x v="2"/>
    <s v="Vestdanmark"/>
    <n v="250931.60383767122"/>
    <n v="0"/>
    <n v="0"/>
    <n v="0"/>
    <n v="0"/>
    <n v="0"/>
    <n v="250931.60383767122"/>
    <n v="0"/>
    <n v="0"/>
    <n v="0"/>
    <n v="250931.60383767122"/>
    <n v="0"/>
    <n v="8.3481359859595514"/>
    <n v="0"/>
    <n v="8.3481359859595514"/>
    <n v="0"/>
    <n v="0"/>
    <n v="0"/>
    <n v="0"/>
  </r>
  <r>
    <x v="34"/>
    <x v="10"/>
    <n v="0"/>
    <x v="2"/>
    <s v="Vestdanmark"/>
    <n v="2064356.3837992495"/>
    <n v="0"/>
    <n v="0"/>
    <n v="0"/>
    <n v="0"/>
    <n v="0"/>
    <n v="0"/>
    <n v="0"/>
    <n v="2064356.3837992495"/>
    <n v="0"/>
    <n v="0"/>
    <n v="0"/>
    <n v="0"/>
    <n v="0"/>
    <n v="0"/>
    <n v="0"/>
    <n v="0"/>
    <n v="0"/>
    <n v="0"/>
  </r>
  <r>
    <x v="35"/>
    <x v="10"/>
    <n v="0"/>
    <x v="2"/>
    <s v="Vestdanmark"/>
    <n v="525662.49270451744"/>
    <n v="0"/>
    <n v="0"/>
    <n v="0"/>
    <n v="0"/>
    <n v="0"/>
    <n v="0"/>
    <n v="525662.4927045174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831.24635225872"/>
    <n v="317451.28833478229"/>
    <n v="0"/>
    <n v="0"/>
    <n v="0"/>
    <n v="0"/>
    <n v="0"/>
    <n v="0"/>
    <n v="-54620.041982523573"/>
    <n v="0"/>
    <n v="0"/>
    <n v="0"/>
    <n v="0"/>
    <n v="0"/>
    <n v="0"/>
    <n v="0"/>
    <n v="0"/>
    <n v="0"/>
    <n v="0"/>
  </r>
  <r>
    <x v="37"/>
    <x v="9"/>
    <n v="1"/>
    <x v="2"/>
    <s v="Vestdanmark"/>
    <n v="168211.99766544558"/>
    <n v="0"/>
    <n v="0"/>
    <n v="0"/>
    <n v="0"/>
    <n v="0"/>
    <n v="168211.99766544558"/>
    <n v="0"/>
    <n v="0"/>
    <n v="0"/>
    <n v="168211.99766544558"/>
    <n v="0"/>
    <n v="5.8874199182905951"/>
    <n v="0"/>
    <n v="5.8874199182905951"/>
    <n v="0"/>
    <n v="0"/>
    <n v="0"/>
    <n v="0"/>
  </r>
  <r>
    <x v="38"/>
    <x v="4"/>
    <n v="1"/>
    <x v="2"/>
    <s v="Vestdanmark"/>
    <n v="477307.40969257313"/>
    <n v="447226.91507025005"/>
    <n v="0"/>
    <n v="0"/>
    <n v="0"/>
    <n v="0"/>
    <n v="0"/>
    <n v="0"/>
    <n v="30080.49462232308"/>
    <n v="30080.49462232308"/>
    <n v="0"/>
    <n v="8.1639665624769736E-2"/>
    <n v="8.1639665624769736E-2"/>
    <n v="0"/>
    <n v="8.1639665624769736E-2"/>
    <n v="6016.0989244646162"/>
    <n v="6016.0989244646162"/>
    <n v="0"/>
    <n v="6016.0989244646162"/>
  </r>
  <r>
    <x v="39"/>
    <x v="10"/>
    <n v="0"/>
    <x v="2"/>
    <s v="Vestdanmark"/>
    <n v="68183.93816497142"/>
    <n v="0"/>
    <n v="0"/>
    <n v="0"/>
    <n v="0"/>
    <n v="0"/>
    <n v="0"/>
    <n v="0"/>
    <n v="68183.93816497142"/>
    <n v="0"/>
    <n v="0"/>
    <n v="0"/>
    <n v="0"/>
    <n v="0"/>
    <n v="0"/>
    <n v="0"/>
    <n v="0"/>
    <n v="0"/>
    <n v="0"/>
  </r>
  <r>
    <x v="40"/>
    <x v="10"/>
    <n v="0"/>
    <x v="2"/>
    <s v="Vestdanmark"/>
    <n v="45453.227411200656"/>
    <n v="19813.247781600003"/>
    <n v="0"/>
    <n v="0"/>
    <n v="0"/>
    <n v="0"/>
    <n v="0"/>
    <n v="0"/>
    <n v="25639.979629600653"/>
    <n v="0"/>
    <n v="0"/>
    <n v="0"/>
    <n v="0"/>
    <n v="0"/>
    <n v="0"/>
    <n v="0"/>
    <n v="0"/>
    <n v="0"/>
    <n v="0"/>
  </r>
  <r>
    <x v="41"/>
    <x v="1"/>
    <n v="1"/>
    <x v="2"/>
    <s v="Vestdanmark"/>
    <n v="4053942.458256661"/>
    <n v="0"/>
    <n v="0"/>
    <n v="0"/>
    <n v="3648548.212430995"/>
    <n v="0"/>
    <n v="0"/>
    <n v="0"/>
    <n v="405394.245825666"/>
    <n v="405394.245825666"/>
    <n v="3648548.212430995"/>
    <n v="0.20229578260946562"/>
    <n v="2.0229578260946566"/>
    <n v="1.820662043485191"/>
    <n v="0.20229578260946557"/>
    <n v="24323.654749539961"/>
    <n v="243236.54749539966"/>
    <n v="218912.89274585969"/>
    <n v="24323.654749539972"/>
  </r>
  <r>
    <x v="42"/>
    <x v="2"/>
    <n v="1"/>
    <x v="2"/>
    <s v="Vestdanmark"/>
    <n v="4015883.8018844402"/>
    <n v="0"/>
    <n v="0"/>
    <n v="0"/>
    <n v="3614295.4216959961"/>
    <n v="401588.38018844387"/>
    <n v="0"/>
    <n v="0"/>
    <n v="0"/>
    <n v="0"/>
    <n v="3614295.4216959961"/>
    <n v="0"/>
    <n v="1.5570384676666353"/>
    <n v="1.5570384676666353"/>
    <n v="0"/>
    <n v="0"/>
    <n v="180714.77108479981"/>
    <n v="180714.77108479981"/>
    <n v="0"/>
  </r>
  <r>
    <x v="43"/>
    <x v="10"/>
    <n v="0"/>
    <x v="2"/>
    <s v="Vestdanmark"/>
    <n v="481498.00991175236"/>
    <n v="0"/>
    <n v="0"/>
    <n v="63313.545971354491"/>
    <n v="0"/>
    <n v="0"/>
    <n v="0"/>
    <n v="0"/>
    <n v="418184.46394039789"/>
    <n v="0"/>
    <n v="0"/>
    <n v="0"/>
    <n v="0"/>
    <n v="0"/>
    <n v="0"/>
    <n v="0"/>
    <n v="0"/>
    <n v="0"/>
    <n v="0"/>
  </r>
  <r>
    <x v="44"/>
    <x v="6"/>
    <n v="1"/>
    <x v="2"/>
    <s v="Vestdanmark"/>
    <n v="10125"/>
    <n v="0"/>
    <n v="0"/>
    <n v="0"/>
    <n v="0"/>
    <n v="0"/>
    <n v="0"/>
    <n v="0"/>
    <n v="10125"/>
    <n v="10125"/>
    <n v="0"/>
    <n v="9.0871875000000015E-3"/>
    <n v="9.0871875000000015E-3"/>
    <n v="0"/>
    <n v="9.0871875000000015E-3"/>
    <n v="1518.75"/>
    <n v="1518.75"/>
    <n v="0"/>
    <n v="1518.7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341876.9484984945"/>
    <n v="0"/>
    <n v="0"/>
    <n v="0"/>
    <n v="0"/>
    <n v="0"/>
    <n v="2341876.9484984945"/>
    <n v="0"/>
    <n v="0"/>
    <n v="0"/>
    <n v="2341876.9484984945"/>
    <n v="0"/>
    <n v="33.942154910200387"/>
    <n v="0"/>
    <n v="33.942154910200387"/>
    <n v="0"/>
    <n v="1158253.3074448803"/>
    <n v="0"/>
    <n v="1158253.3074448803"/>
  </r>
  <r>
    <x v="47"/>
    <x v="10"/>
    <n v="0"/>
    <x v="2"/>
    <s v="Vestdanmark"/>
    <n v="689715.35963233898"/>
    <n v="0"/>
    <n v="0"/>
    <n v="0"/>
    <n v="0"/>
    <n v="0"/>
    <n v="0"/>
    <n v="689715.3596323389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6351.5182499863"/>
    <n v="0"/>
    <n v="0"/>
    <n v="28209.340124628539"/>
    <n v="0"/>
    <n v="0"/>
    <n v="0"/>
    <n v="0"/>
    <n v="-11857.821874642239"/>
    <n v="0"/>
    <n v="0"/>
    <n v="0"/>
    <n v="0"/>
    <n v="0"/>
    <n v="0"/>
    <n v="0"/>
    <n v="0"/>
    <n v="0"/>
    <n v="0"/>
  </r>
  <r>
    <x v="1"/>
    <x v="10"/>
    <n v="0"/>
    <x v="1"/>
    <s v="Østdanmark"/>
    <n v="219123.20850195418"/>
    <n v="0"/>
    <n v="0"/>
    <n v="37612.453499504722"/>
    <n v="0"/>
    <n v="0"/>
    <n v="0"/>
    <n v="0"/>
    <n v="181510.75500244947"/>
    <n v="0"/>
    <n v="0"/>
    <n v="0"/>
    <n v="0"/>
    <n v="0"/>
    <n v="0"/>
    <n v="0"/>
    <n v="0"/>
    <n v="0"/>
    <n v="0"/>
  </r>
  <r>
    <x v="2"/>
    <x v="1"/>
    <n v="1"/>
    <x v="1"/>
    <s v="Østdanmark"/>
    <n v="178107.99808813466"/>
    <n v="0"/>
    <n v="0"/>
    <n v="0"/>
    <n v="168912.75887120995"/>
    <n v="0"/>
    <n v="9195.2392169247032"/>
    <n v="0"/>
    <n v="0"/>
    <n v="0"/>
    <n v="178107.99808813466"/>
    <n v="0"/>
    <n v="0.73962600556680191"/>
    <n v="0.57547056732591406"/>
    <n v="0.16415543824088785"/>
    <n v="0"/>
    <n v="49870.23946467771"/>
    <n v="47295.572483938791"/>
    <n v="2574.6669807389189"/>
  </r>
  <r>
    <x v="3"/>
    <x v="10"/>
    <n v="1"/>
    <x v="1"/>
    <s v="Østdanmark"/>
    <n v="125691068.3984434"/>
    <n v="0"/>
    <n v="0"/>
    <n v="0"/>
    <n v="0"/>
    <n v="0"/>
    <n v="125691068.3984434"/>
    <n v="0"/>
    <n v="0"/>
    <n v="0"/>
    <n v="125691068.3984434"/>
    <n v="0"/>
    <n v="0"/>
    <n v="0"/>
    <n v="0"/>
    <n v="0"/>
    <n v="0"/>
    <n v="0"/>
    <n v="0"/>
  </r>
  <r>
    <x v="4"/>
    <x v="10"/>
    <n v="0"/>
    <x v="1"/>
    <s v="Østdanmark"/>
    <n v="4106034.5064830724"/>
    <n v="0"/>
    <n v="0"/>
    <n v="0"/>
    <n v="0"/>
    <n v="2988113.0405047191"/>
    <n v="0"/>
    <n v="0"/>
    <n v="1117921.4659783533"/>
    <n v="0"/>
    <n v="0"/>
    <n v="0"/>
    <n v="0"/>
    <n v="0"/>
    <n v="0"/>
    <n v="0"/>
    <n v="0"/>
    <n v="0"/>
    <n v="0"/>
  </r>
  <r>
    <x v="5"/>
    <x v="1"/>
    <n v="1"/>
    <x v="1"/>
    <s v="Østdanmark"/>
    <n v="140741.33871353196"/>
    <n v="0"/>
    <n v="0"/>
    <n v="0"/>
    <n v="91481.870163795786"/>
    <n v="0"/>
    <n v="0"/>
    <n v="0"/>
    <n v="49259.468549736179"/>
    <n v="49259.468549736179"/>
    <n v="91481.870163795786"/>
    <n v="2.7980662672415994E-2"/>
    <n v="7.9944750492617137E-2"/>
    <n v="5.1964087820201142E-2"/>
    <n v="2.7980662672415994E-2"/>
    <n v="2106.50174451675"/>
    <n v="6018.5764129050012"/>
    <n v="3912.0746683882508"/>
    <n v="2106.5017445167505"/>
  </r>
  <r>
    <x v="6"/>
    <x v="2"/>
    <n v="1"/>
    <x v="1"/>
    <s v="Østdanmark"/>
    <n v="358118.32667497953"/>
    <n v="0"/>
    <n v="0"/>
    <n v="0"/>
    <n v="232776.9123387367"/>
    <n v="47450.678284434784"/>
    <n v="0"/>
    <n v="0"/>
    <n v="77890.736051808053"/>
    <n v="77890.736051808053"/>
    <n v="232776.9123387367"/>
    <n v="0.16777664545559454"/>
    <n v="0.6691781146332334"/>
    <n v="0.50140146917763884"/>
    <n v="0.16777664545559456"/>
    <n v="23367.220815542416"/>
    <n v="93200.29451716342"/>
    <n v="69833.073701621004"/>
    <n v="23367.220815542416"/>
  </r>
  <r>
    <x v="7"/>
    <x v="10"/>
    <n v="0"/>
    <x v="1"/>
    <s v="Østdanmark"/>
    <n v="99129.493859611786"/>
    <n v="99063.211565328063"/>
    <n v="0"/>
    <n v="0"/>
    <n v="0"/>
    <n v="0"/>
    <n v="0"/>
    <n v="0"/>
    <n v="66.282294283722877"/>
    <n v="0"/>
    <n v="0"/>
    <n v="0"/>
    <n v="0"/>
    <n v="0"/>
    <n v="0"/>
    <n v="0"/>
    <n v="0"/>
    <n v="0"/>
    <n v="0"/>
  </r>
  <r>
    <x v="8"/>
    <x v="2"/>
    <n v="1"/>
    <x v="1"/>
    <s v="Østdanmark"/>
    <n v="778.19051482288"/>
    <n v="0"/>
    <n v="0"/>
    <n v="0"/>
    <n v="505.82383463487201"/>
    <n v="272.36668018800799"/>
    <n v="0"/>
    <n v="0"/>
    <n v="0"/>
    <n v="0"/>
    <n v="505.82383463487201"/>
    <n v="0"/>
    <n v="2.3788389119043396E-4"/>
    <n v="2.3788389119043396E-4"/>
    <n v="0"/>
    <n v="0"/>
    <n v="31.866901581996938"/>
    <n v="31.866901581996938"/>
    <n v="0"/>
  </r>
  <r>
    <x v="9"/>
    <x v="10"/>
    <n v="0"/>
    <x v="1"/>
    <s v="Østdanmark"/>
    <n v="12965.573823549625"/>
    <n v="0"/>
    <n v="0"/>
    <n v="24448.094774678073"/>
    <n v="0"/>
    <n v="0"/>
    <n v="0"/>
    <n v="0"/>
    <n v="-11482.520951128448"/>
    <n v="0"/>
    <n v="0"/>
    <n v="0"/>
    <n v="0"/>
    <n v="0"/>
    <n v="0"/>
    <n v="0"/>
    <n v="0"/>
    <n v="0"/>
    <n v="0"/>
  </r>
  <r>
    <x v="10"/>
    <x v="10"/>
    <n v="0"/>
    <x v="1"/>
    <s v="Østdanmark"/>
    <n v="300694.90203982888"/>
    <n v="0"/>
    <n v="0"/>
    <n v="0"/>
    <n v="0"/>
    <n v="0"/>
    <n v="0"/>
    <n v="0"/>
    <n v="300694.90203982888"/>
    <n v="0"/>
    <n v="0"/>
    <n v="0"/>
    <n v="0"/>
    <n v="0"/>
    <n v="0"/>
    <n v="0"/>
    <n v="0"/>
    <n v="0"/>
    <n v="0"/>
  </r>
  <r>
    <x v="11"/>
    <x v="10"/>
    <n v="0"/>
    <x v="1"/>
    <s v="Østdanmark"/>
    <n v="42029.439455374028"/>
    <n v="0"/>
    <n v="0"/>
    <n v="223323.94265330929"/>
    <n v="0"/>
    <n v="0"/>
    <n v="0"/>
    <n v="0"/>
    <n v="-181294.5031979352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889048.5773336194"/>
    <n v="1142611.4363447551"/>
    <n v="0"/>
    <n v="0"/>
    <n v="0"/>
    <n v="0"/>
    <n v="0"/>
    <n v="288019.44387638377"/>
    <n v="2458417.6971124802"/>
    <n v="2458417.6971124802"/>
    <n v="0"/>
    <n v="4.5231812604748249"/>
    <n v="4.5231812604748249"/>
    <n v="0"/>
    <n v="4.5231812604748249"/>
    <n v="688356.95519149455"/>
    <n v="688356.95519149455"/>
    <n v="0"/>
    <n v="688356.95519149455"/>
  </r>
  <r>
    <x v="14"/>
    <x v="10"/>
    <n v="0"/>
    <x v="1"/>
    <s v="Østdanmark"/>
    <n v="48148.61130324001"/>
    <n v="48148.61130324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52009.50532141351"/>
    <n v="0"/>
    <n v="0"/>
    <n v="233902.44520004498"/>
    <n v="0"/>
    <n v="0"/>
    <n v="0"/>
    <n v="0"/>
    <n v="218107.06012136853"/>
    <n v="0"/>
    <n v="0"/>
    <n v="0"/>
    <n v="0"/>
    <n v="0"/>
    <n v="0"/>
    <n v="0"/>
    <n v="0"/>
    <n v="0"/>
    <n v="0"/>
  </r>
  <r>
    <x v="16"/>
    <x v="5"/>
    <n v="1"/>
    <x v="1"/>
    <s v="Østdanmark"/>
    <n v="876609.03680475557"/>
    <n v="0"/>
    <n v="75766.923793950002"/>
    <n v="0"/>
    <n v="0"/>
    <n v="0"/>
    <n v="406492.37528769014"/>
    <n v="394349.73772311531"/>
    <n v="0"/>
    <n v="0"/>
    <n v="406492.37528769014"/>
    <n v="0"/>
    <n v="4.2014264693082932"/>
    <n v="0"/>
    <n v="4.2014264693082932"/>
    <n v="0"/>
    <n v="345518.5189945366"/>
    <n v="0"/>
    <n v="345518.5189945366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223748.01893181339"/>
    <n v="0"/>
    <n v="0"/>
    <n v="0"/>
    <n v="0"/>
    <n v="0"/>
    <n v="0"/>
    <n v="-223748.01893181339"/>
    <n v="0"/>
    <n v="0"/>
    <n v="0"/>
    <n v="0"/>
    <n v="0"/>
    <n v="0"/>
    <n v="0"/>
    <n v="0"/>
    <n v="0"/>
    <n v="0"/>
  </r>
  <r>
    <x v="19"/>
    <x v="1"/>
    <n v="1"/>
    <x v="1"/>
    <s v="Østdanmark"/>
    <n v="192785.18866068762"/>
    <n v="0"/>
    <n v="0"/>
    <n v="0"/>
    <n v="184388.53331270564"/>
    <n v="0"/>
    <n v="0"/>
    <n v="0"/>
    <n v="8396.655347981985"/>
    <n v="8396.655347981985"/>
    <n v="184388.53331270564"/>
    <n v="3.6383799188001185E-2"/>
    <n v="0.71551636173829269"/>
    <n v="0.67913256255029153"/>
    <n v="3.6383799188001165E-2"/>
    <n v="3526.5952461524334"/>
    <n v="80969.779237488794"/>
    <n v="77443.183991336366"/>
    <n v="3526.5952461524284"/>
  </r>
  <r>
    <x v="20"/>
    <x v="10"/>
    <n v="0"/>
    <x v="1"/>
    <s v="Østdanmark"/>
    <n v="188679.01735181612"/>
    <n v="0"/>
    <n v="0"/>
    <n v="0"/>
    <n v="0"/>
    <n v="0"/>
    <n v="0"/>
    <n v="0"/>
    <n v="188679.01735181612"/>
    <n v="0"/>
    <n v="0"/>
    <n v="0"/>
    <n v="0"/>
    <n v="0"/>
    <n v="0"/>
    <n v="0"/>
    <n v="0"/>
    <n v="0"/>
    <n v="0"/>
  </r>
  <r>
    <x v="21"/>
    <x v="10"/>
    <n v="0"/>
    <x v="1"/>
    <s v="Østdanmark"/>
    <n v="629409.67357184645"/>
    <n v="0"/>
    <n v="0"/>
    <n v="106960.41463921656"/>
    <n v="0"/>
    <n v="0"/>
    <n v="0"/>
    <n v="0"/>
    <n v="522449.25893262989"/>
    <n v="0"/>
    <n v="0"/>
    <n v="0"/>
    <n v="0"/>
    <n v="0"/>
    <n v="0"/>
    <n v="0"/>
    <n v="0"/>
    <n v="0"/>
    <n v="0"/>
  </r>
  <r>
    <x v="22"/>
    <x v="5"/>
    <n v="1"/>
    <x v="1"/>
    <s v="Østdanmark"/>
    <n v="1453462.7708228838"/>
    <n v="544956.27419303753"/>
    <n v="0"/>
    <n v="256234.83946537593"/>
    <n v="0"/>
    <n v="0"/>
    <n v="0"/>
    <n v="0"/>
    <n v="652271.65716447029"/>
    <n v="463910.9333094554"/>
    <n v="0"/>
    <n v="1.5888299990542216"/>
    <n v="1.5888299990542216"/>
    <n v="0"/>
    <n v="1.5888299990542216"/>
    <n v="143812.38932593117"/>
    <n v="143812.38932593117"/>
    <n v="0"/>
    <n v="143812.38932593117"/>
  </r>
  <r>
    <x v="23"/>
    <x v="10"/>
    <n v="0"/>
    <x v="1"/>
    <s v="Østdanmark"/>
    <n v="0"/>
    <n v="0"/>
    <n v="0"/>
    <n v="0"/>
    <n v="0"/>
    <n v="491101.64058741054"/>
    <n v="0"/>
    <n v="0"/>
    <n v="-491101.64058741054"/>
    <n v="0"/>
    <n v="0"/>
    <n v="0"/>
    <n v="0"/>
    <n v="0"/>
    <n v="0"/>
    <n v="0"/>
    <n v="0"/>
    <n v="0"/>
    <n v="0"/>
  </r>
  <r>
    <x v="24"/>
    <x v="2"/>
    <n v="1"/>
    <x v="1"/>
    <s v="Østdanmark"/>
    <n v="649792.49426575436"/>
    <n v="0"/>
    <n v="0"/>
    <n v="0"/>
    <n v="422365.12127274036"/>
    <n v="227427.37299301403"/>
    <n v="0"/>
    <n v="0"/>
    <n v="0"/>
    <n v="0"/>
    <n v="422365.12127274036"/>
    <n v="0"/>
    <n v="0.21379700073704846"/>
    <n v="0.21379700073704846"/>
    <n v="0"/>
    <n v="0"/>
    <n v="32099.749216728265"/>
    <n v="32099.749216728265"/>
    <n v="0"/>
  </r>
  <r>
    <x v="25"/>
    <x v="10"/>
    <n v="0"/>
    <x v="1"/>
    <s v="Østdanmark"/>
    <n v="81274.077460835601"/>
    <n v="139990.36425435884"/>
    <n v="0"/>
    <n v="0"/>
    <n v="0"/>
    <n v="0"/>
    <n v="0"/>
    <n v="0"/>
    <n v="-58716.286793523235"/>
    <n v="0"/>
    <n v="0"/>
    <n v="0"/>
    <n v="0"/>
    <n v="0"/>
    <n v="0"/>
    <n v="0"/>
    <n v="0"/>
    <n v="0"/>
    <n v="0"/>
  </r>
  <r>
    <x v="26"/>
    <x v="4"/>
    <n v="1"/>
    <x v="1"/>
    <s v="Østdanmark"/>
    <n v="1200000.8780664324"/>
    <n v="527563.77764006588"/>
    <n v="0"/>
    <n v="0"/>
    <n v="0"/>
    <n v="0"/>
    <n v="0"/>
    <n v="0"/>
    <n v="672437.10042636655"/>
    <n v="272080.00153552275"/>
    <n v="0"/>
    <n v="0.97676720551252683"/>
    <n v="0.97676720551252683"/>
    <n v="0"/>
    <n v="0.97676720551252683"/>
    <n v="81624.000460656825"/>
    <n v="81624.000460656825"/>
    <n v="0"/>
    <n v="81624.000460656825"/>
  </r>
  <r>
    <x v="27"/>
    <x v="10"/>
    <n v="0"/>
    <x v="1"/>
    <s v="Østdanmark"/>
    <n v="156816.78911937549"/>
    <n v="0"/>
    <n v="0"/>
    <n v="409035.43180711387"/>
    <n v="0"/>
    <n v="0"/>
    <n v="0"/>
    <n v="0"/>
    <n v="-252218.64268773838"/>
    <n v="0"/>
    <n v="0"/>
    <n v="0"/>
    <n v="0"/>
    <n v="0"/>
    <n v="0"/>
    <n v="0"/>
    <n v="0"/>
    <n v="0"/>
    <n v="0"/>
  </r>
  <r>
    <x v="28"/>
    <x v="6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</r>
  <r>
    <x v="29"/>
    <x v="10"/>
    <n v="0"/>
    <x v="1"/>
    <s v="Østdanmark"/>
    <n v="5083.0525391711781"/>
    <n v="0"/>
    <n v="0"/>
    <n v="41580.567343702467"/>
    <n v="0"/>
    <n v="0"/>
    <n v="0"/>
    <n v="0"/>
    <n v="-36497.514804531289"/>
    <n v="0"/>
    <n v="0"/>
    <n v="0"/>
    <n v="0"/>
    <n v="0"/>
    <n v="0"/>
    <n v="0"/>
    <n v="0"/>
    <n v="0"/>
    <n v="0"/>
  </r>
  <r>
    <x v="30"/>
    <x v="10"/>
    <n v="0"/>
    <x v="1"/>
    <s v="Østdanmark"/>
    <n v="415381.70094496832"/>
    <n v="0"/>
    <n v="0"/>
    <n v="0"/>
    <n v="0"/>
    <n v="0"/>
    <n v="0"/>
    <n v="0"/>
    <n v="415381.70094496832"/>
    <n v="0"/>
    <n v="0"/>
    <n v="0"/>
    <n v="0"/>
    <n v="0"/>
    <n v="0"/>
    <n v="0"/>
    <n v="0"/>
    <n v="0"/>
    <n v="0"/>
  </r>
  <r>
    <x v="31"/>
    <x v="7"/>
    <n v="1"/>
    <x v="1"/>
    <s v="Østdanmark"/>
    <n v="36846.931969416735"/>
    <n v="0"/>
    <n v="0"/>
    <n v="0"/>
    <n v="0"/>
    <n v="0"/>
    <n v="36846.931969416735"/>
    <n v="0"/>
    <n v="0"/>
    <n v="0"/>
    <n v="36846.931969416735"/>
    <n v="0"/>
    <n v="0.67798354823726781"/>
    <n v="0"/>
    <n v="0.67798354823726781"/>
    <n v="0"/>
    <n v="15291.476767307946"/>
    <n v="0"/>
    <n v="15291.476767307946"/>
  </r>
  <r>
    <x v="32"/>
    <x v="8"/>
    <n v="1"/>
    <x v="1"/>
    <s v="Østdanmark"/>
    <n v="220835.85312494458"/>
    <n v="0"/>
    <n v="0"/>
    <n v="0"/>
    <n v="0"/>
    <n v="0"/>
    <n v="220835.85312494458"/>
    <n v="0"/>
    <n v="0"/>
    <n v="0"/>
    <n v="220835.85312494458"/>
    <n v="0"/>
    <n v="1.9790047237896813"/>
    <n v="0"/>
    <n v="1.9790047237896813"/>
    <n v="0"/>
    <n v="0"/>
    <n v="0"/>
    <n v="0"/>
  </r>
  <r>
    <x v="33"/>
    <x v="8"/>
    <n v="1"/>
    <x v="1"/>
    <s v="Østdanmark"/>
    <n v="55208.963281236145"/>
    <n v="0"/>
    <n v="0"/>
    <n v="0"/>
    <n v="0"/>
    <n v="0"/>
    <n v="55208.963281236145"/>
    <n v="0"/>
    <n v="0"/>
    <n v="0"/>
    <n v="55208.963281236145"/>
    <n v="0"/>
    <n v="1.8367233384191815"/>
    <n v="0"/>
    <n v="1.8367233384191815"/>
    <n v="0"/>
    <n v="0"/>
    <n v="0"/>
    <n v="0"/>
  </r>
  <r>
    <x v="34"/>
    <x v="10"/>
    <n v="0"/>
    <x v="1"/>
    <s v="Østdanmark"/>
    <n v="244195.7605950883"/>
    <n v="0"/>
    <n v="0"/>
    <n v="0"/>
    <n v="0"/>
    <n v="0"/>
    <n v="0"/>
    <n v="0"/>
    <n v="244195.7605950883"/>
    <n v="0"/>
    <n v="0"/>
    <n v="0"/>
    <n v="0"/>
    <n v="0"/>
    <n v="0"/>
    <n v="0"/>
    <n v="0"/>
    <n v="0"/>
    <n v="0"/>
  </r>
  <r>
    <x v="35"/>
    <x v="10"/>
    <n v="0"/>
    <x v="1"/>
    <s v="Østdanmark"/>
    <n v="197553.12898229909"/>
    <n v="0"/>
    <n v="0"/>
    <n v="0"/>
    <n v="0"/>
    <n v="0"/>
    <n v="0"/>
    <n v="197553.12898229909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8776.564491149547"/>
    <n v="40122.455344582697"/>
    <n v="0"/>
    <n v="0"/>
    <n v="0"/>
    <n v="0"/>
    <n v="0"/>
    <n v="0"/>
    <n v="58654.109146566851"/>
    <n v="0"/>
    <n v="0"/>
    <n v="0"/>
    <n v="0"/>
    <n v="0"/>
    <n v="0"/>
    <n v="0"/>
    <n v="0"/>
    <n v="0"/>
    <n v="0"/>
  </r>
  <r>
    <x v="37"/>
    <x v="9"/>
    <n v="1"/>
    <x v="1"/>
    <s v="Østdanmark"/>
    <n v="63217.001274335715"/>
    <n v="0"/>
    <n v="0"/>
    <n v="0"/>
    <n v="0"/>
    <n v="0"/>
    <n v="63217.001274335715"/>
    <n v="0"/>
    <n v="0"/>
    <n v="0"/>
    <n v="63217.001274335715"/>
    <n v="0"/>
    <n v="2.2125950446017497"/>
    <n v="0"/>
    <n v="2.2125950446017497"/>
    <n v="0"/>
    <n v="0"/>
    <n v="0"/>
    <n v="0"/>
  </r>
  <r>
    <x v="38"/>
    <x v="4"/>
    <n v="1"/>
    <x v="1"/>
    <s v="Østdanmark"/>
    <n v="207966.66020436856"/>
    <n v="80504.889625609634"/>
    <n v="0"/>
    <n v="0"/>
    <n v="0"/>
    <n v="0"/>
    <n v="0"/>
    <n v="0"/>
    <n v="127461.77057875892"/>
    <n v="87842.254782762393"/>
    <n v="0"/>
    <n v="0.23840739317060844"/>
    <n v="0.23840739317060844"/>
    <n v="0"/>
    <n v="0.23840739317060844"/>
    <n v="17568.450956552479"/>
    <n v="17568.450956552479"/>
    <n v="0"/>
    <n v="17568.450956552479"/>
  </r>
  <r>
    <x v="39"/>
    <x v="10"/>
    <n v="0"/>
    <x v="1"/>
    <s v="Østdanmark"/>
    <n v="14364.232197867042"/>
    <n v="0"/>
    <n v="0"/>
    <n v="0"/>
    <n v="0"/>
    <n v="0"/>
    <n v="0"/>
    <n v="0"/>
    <n v="14364.232197867042"/>
    <n v="0"/>
    <n v="0"/>
    <n v="0"/>
    <n v="0"/>
    <n v="0"/>
    <n v="0"/>
    <n v="0"/>
    <n v="0"/>
    <n v="0"/>
    <n v="0"/>
  </r>
  <r>
    <x v="40"/>
    <x v="10"/>
    <n v="0"/>
    <x v="1"/>
    <s v="Østdanmark"/>
    <n v="11493.411931478344"/>
    <n v="3566.5638002400005"/>
    <n v="0"/>
    <n v="0"/>
    <n v="0"/>
    <n v="0"/>
    <n v="0"/>
    <n v="0"/>
    <n v="7926.8481312383428"/>
    <n v="0"/>
    <n v="0"/>
    <n v="0"/>
    <n v="0"/>
    <n v="0"/>
    <n v="0"/>
    <n v="0"/>
    <n v="0"/>
    <n v="0"/>
    <n v="0"/>
  </r>
  <r>
    <x v="41"/>
    <x v="1"/>
    <n v="1"/>
    <x v="1"/>
    <s v="Østdanmark"/>
    <n v="3341504.9573106756"/>
    <n v="0"/>
    <n v="0"/>
    <n v="0"/>
    <n v="2171978.2222519391"/>
    <n v="0"/>
    <n v="0"/>
    <n v="0"/>
    <n v="1169526.7350587365"/>
    <n v="1169526.7350587365"/>
    <n v="2171978.2222519391"/>
    <n v="0.58360553606166021"/>
    <n v="1.6674443887476005"/>
    <n v="1.0838388526859404"/>
    <n v="0.5836055360616601"/>
    <n v="70171.604103524194"/>
    <n v="200490.29743864053"/>
    <n v="130318.69333511635"/>
    <n v="70171.60410352418"/>
  </r>
  <r>
    <x v="42"/>
    <x v="2"/>
    <n v="1"/>
    <x v="1"/>
    <s v="Østdanmark"/>
    <n v="1221968.9528231884"/>
    <n v="0"/>
    <n v="0"/>
    <n v="0"/>
    <n v="794279.81933507253"/>
    <n v="427689.13348811591"/>
    <n v="0"/>
    <n v="0"/>
    <n v="0"/>
    <n v="0"/>
    <n v="794279.81933507253"/>
    <n v="0"/>
    <n v="0.34217574616954932"/>
    <n v="0.34217574616954932"/>
    <n v="0"/>
    <n v="0"/>
    <n v="39713.990966753627"/>
    <n v="39713.990966753627"/>
    <n v="0"/>
  </r>
  <r>
    <x v="43"/>
    <x v="10"/>
    <n v="0"/>
    <x v="1"/>
    <s v="Østdanmark"/>
    <n v="125224.44549527422"/>
    <n v="0"/>
    <n v="0"/>
    <n v="84421.151879638346"/>
    <n v="0"/>
    <n v="0"/>
    <n v="0"/>
    <n v="0"/>
    <n v="40803.293615635877"/>
    <n v="0"/>
    <n v="0"/>
    <n v="0"/>
    <n v="0"/>
    <n v="0"/>
    <n v="0"/>
    <n v="0"/>
    <n v="0"/>
    <n v="0"/>
    <n v="0"/>
  </r>
  <r>
    <x v="44"/>
    <x v="6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</r>
  <r>
    <x v="47"/>
    <x v="10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014.619015001228"/>
    <n v="0"/>
    <n v="0"/>
    <n v="29532.002020101954"/>
    <n v="0"/>
    <n v="0"/>
    <n v="0"/>
    <n v="0"/>
    <n v="-15517.383005100726"/>
    <n v="0"/>
    <n v="0"/>
    <n v="0"/>
    <n v="0"/>
    <n v="0"/>
    <n v="0"/>
    <n v="0"/>
    <n v="0"/>
    <n v="0"/>
    <n v="0"/>
  </r>
  <r>
    <x v="1"/>
    <x v="10"/>
    <n v="0"/>
    <x v="2"/>
    <s v="Østdanmark"/>
    <n v="184820.54051860346"/>
    <n v="0"/>
    <n v="0"/>
    <n v="98440.006733673188"/>
    <n v="0"/>
    <n v="0"/>
    <n v="0"/>
    <n v="0"/>
    <n v="86380.533784930274"/>
    <n v="0"/>
    <n v="0"/>
    <n v="0"/>
    <n v="0"/>
    <n v="0"/>
    <n v="0"/>
    <n v="0"/>
    <n v="0"/>
    <n v="0"/>
    <n v="0"/>
  </r>
  <r>
    <x v="2"/>
    <x v="1"/>
    <n v="1"/>
    <x v="2"/>
    <s v="Østdanmark"/>
    <n v="183136.50029390544"/>
    <n v="0"/>
    <n v="0"/>
    <n v="0"/>
    <n v="172292.76645701905"/>
    <n v="0"/>
    <n v="10843.733836886386"/>
    <n v="0"/>
    <n v="0"/>
    <n v="0"/>
    <n v="183136.50029390544"/>
    <n v="0"/>
    <n v="0.78057067669367108"/>
    <n v="0.58698594897008294"/>
    <n v="0.19358472772358815"/>
    <n v="0"/>
    <n v="51278.220082293527"/>
    <n v="48241.974607965341"/>
    <n v="3036.2454743281851"/>
  </r>
  <r>
    <x v="3"/>
    <x v="10"/>
    <n v="1"/>
    <x v="2"/>
    <s v="Østdanmark"/>
    <n v="136916209.63217843"/>
    <n v="0"/>
    <n v="0"/>
    <n v="0"/>
    <n v="0"/>
    <n v="0"/>
    <n v="136916209.63217843"/>
    <n v="0"/>
    <n v="0"/>
    <n v="0"/>
    <n v="136916209.63217843"/>
    <n v="0"/>
    <n v="0"/>
    <n v="0"/>
    <n v="0"/>
    <n v="0"/>
    <n v="0"/>
    <n v="0"/>
    <n v="0"/>
  </r>
  <r>
    <x v="4"/>
    <x v="10"/>
    <n v="0"/>
    <x v="2"/>
    <s v="Østdanmark"/>
    <n v="4771810.3476653025"/>
    <n v="0"/>
    <n v="0"/>
    <n v="0"/>
    <n v="0"/>
    <n v="2772967.1013813135"/>
    <n v="0"/>
    <n v="0"/>
    <n v="1998843.2462839889"/>
    <n v="0"/>
    <n v="0"/>
    <n v="0"/>
    <n v="0"/>
    <n v="0"/>
    <n v="0"/>
    <n v="0"/>
    <n v="0"/>
    <n v="0"/>
    <n v="0"/>
  </r>
  <r>
    <x v="5"/>
    <x v="1"/>
    <n v="1"/>
    <x v="2"/>
    <s v="Østdanmark"/>
    <n v="182256.22298351699"/>
    <n v="0"/>
    <n v="0"/>
    <n v="0"/>
    <n v="164030.60068516529"/>
    <n v="0"/>
    <n v="0"/>
    <n v="0"/>
    <n v="18225.622298351693"/>
    <n v="18225.622298351693"/>
    <n v="164030.60068516529"/>
    <n v="1.0352628733908114E-2"/>
    <n v="0.10352628733908117"/>
    <n v="9.3173658605173057E-2"/>
    <n v="1.0352628733908117E-2"/>
    <n v="779.38934983874969"/>
    <n v="7793.8934983874997"/>
    <n v="7014.50414854875"/>
    <n v="779.38934983874969"/>
  </r>
  <r>
    <x v="6"/>
    <x v="2"/>
    <n v="1"/>
    <x v="2"/>
    <s v="Østdanmark"/>
    <n v="288933.0377631922"/>
    <n v="0"/>
    <n v="0"/>
    <n v="0"/>
    <n v="260039.73398687298"/>
    <n v="10938.179286749417"/>
    <n v="0"/>
    <n v="0"/>
    <n v="17955.124489569804"/>
    <n v="17955.124489569804"/>
    <n v="260039.73398687298"/>
    <n v="3.867533815053336E-2"/>
    <n v="0.59880092515825778"/>
    <n v="0.56012558700772441"/>
    <n v="3.8675338150533367E-2"/>
    <n v="5386.5373468709413"/>
    <n v="83398.457542932825"/>
    <n v="78011.920196061896"/>
    <n v="5386.5373468709295"/>
  </r>
  <r>
    <x v="7"/>
    <x v="10"/>
    <n v="0"/>
    <x v="2"/>
    <s v="Østdanmark"/>
    <n v="128370.01056167646"/>
    <n v="128507.27970135745"/>
    <n v="0"/>
    <n v="0"/>
    <n v="0"/>
    <n v="0"/>
    <n v="0"/>
    <n v="0"/>
    <n v="-137.26913968098233"/>
    <n v="0"/>
    <n v="0"/>
    <n v="0"/>
    <n v="0"/>
    <n v="0"/>
    <n v="0"/>
    <n v="0"/>
    <n v="0"/>
    <n v="0"/>
    <n v="0"/>
  </r>
  <r>
    <x v="8"/>
    <x v="2"/>
    <n v="1"/>
    <x v="2"/>
    <s v="Østdanmark"/>
    <n v="892.67287590137244"/>
    <n v="0"/>
    <n v="0"/>
    <n v="0"/>
    <n v="803.40558831123519"/>
    <n v="89.267287590137229"/>
    <n v="0"/>
    <n v="0"/>
    <n v="0"/>
    <n v="0"/>
    <n v="803.40558831123519"/>
    <n v="0"/>
    <n v="3.7783361412689083E-4"/>
    <n v="3.7783361412689083E-4"/>
    <n v="0"/>
    <n v="0"/>
    <n v="50.614552063607817"/>
    <n v="50.614552063607817"/>
    <n v="0"/>
  </r>
  <r>
    <x v="9"/>
    <x v="10"/>
    <n v="0"/>
    <x v="2"/>
    <s v="Østdanmark"/>
    <n v="9620.9199896373884"/>
    <n v="0"/>
    <n v="0"/>
    <n v="15996.501094221892"/>
    <n v="0"/>
    <n v="0"/>
    <n v="0"/>
    <n v="0"/>
    <n v="-6375.5811045845039"/>
    <n v="0"/>
    <n v="0"/>
    <n v="0"/>
    <n v="0"/>
    <n v="0"/>
    <n v="0"/>
    <n v="0"/>
    <n v="0"/>
    <n v="0"/>
    <n v="0"/>
  </r>
  <r>
    <x v="10"/>
    <x v="10"/>
    <n v="0"/>
    <x v="2"/>
    <s v="Østdanmark"/>
    <n v="244576.33466221322"/>
    <n v="0"/>
    <n v="0"/>
    <n v="0"/>
    <n v="0"/>
    <n v="0"/>
    <n v="0"/>
    <n v="0"/>
    <n v="244576.33466221322"/>
    <n v="0"/>
    <n v="0"/>
    <n v="0"/>
    <n v="0"/>
    <n v="0"/>
    <n v="0"/>
    <n v="0"/>
    <n v="0"/>
    <n v="0"/>
    <n v="0"/>
  </r>
  <r>
    <x v="11"/>
    <x v="10"/>
    <n v="0"/>
    <x v="2"/>
    <s v="Østdanmark"/>
    <n v="35974.29143745116"/>
    <n v="0"/>
    <n v="0"/>
    <n v="233795.01599247381"/>
    <n v="0"/>
    <n v="0"/>
    <n v="0"/>
    <n v="0"/>
    <n v="-197820.72455502267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815303.0196031071"/>
    <n v="771991.75994211878"/>
    <n v="0"/>
    <n v="0"/>
    <n v="0"/>
    <n v="0"/>
    <n v="0"/>
    <n v="372977.38153229345"/>
    <n v="1670333.8781286948"/>
    <n v="62104.977447957266"/>
    <n v="0"/>
    <n v="0.11426539538206038"/>
    <n v="0.11426539538206038"/>
    <n v="0"/>
    <n v="0.11426539538206038"/>
    <n v="17389.393685428036"/>
    <n v="17389.393685428036"/>
    <n v="0"/>
    <n v="17389.393685428036"/>
  </r>
  <r>
    <x v="14"/>
    <x v="10"/>
    <n v="0"/>
    <x v="2"/>
    <s v="Østdanmark"/>
    <n v="62351.14798709999"/>
    <n v="62351.1479870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388219.23407538212"/>
    <n v="0"/>
    <n v="0"/>
    <n v="244869.51675001203"/>
    <n v="0"/>
    <n v="0"/>
    <n v="0"/>
    <n v="0"/>
    <n v="143349.71732537009"/>
    <n v="0"/>
    <n v="0"/>
    <n v="0"/>
    <n v="0"/>
    <n v="0"/>
    <n v="0"/>
    <n v="0"/>
    <n v="0"/>
    <n v="0"/>
    <n v="0"/>
  </r>
  <r>
    <x v="16"/>
    <x v="5"/>
    <n v="1"/>
    <x v="2"/>
    <s v="Østdanmark"/>
    <n v="948113.41210557171"/>
    <n v="0"/>
    <n v="49764.085742999996"/>
    <n v="0"/>
    <n v="0"/>
    <n v="0"/>
    <n v="190717.92520308075"/>
    <n v="707631.40115949092"/>
    <n v="0"/>
    <n v="0"/>
    <n v="190717.92520308075"/>
    <n v="0"/>
    <n v="1.9712235403005558"/>
    <n v="0"/>
    <n v="1.9712235403005558"/>
    <n v="0"/>
    <n v="162110.23642261865"/>
    <n v="0"/>
    <n v="162110.23642261865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3784.44874310441"/>
    <n v="0"/>
    <n v="0"/>
    <n v="0"/>
    <n v="172421.96543868803"/>
    <n v="0"/>
    <n v="0"/>
    <n v="0"/>
    <n v="11362.483304416382"/>
    <n v="11362.483304416382"/>
    <n v="172421.96543868803"/>
    <n v="4.9235117280865763E-2"/>
    <n v="0.68429288971700675"/>
    <n v="0.63505777243614103"/>
    <n v="4.9235117280865714E-2"/>
    <n v="4772.2429878548801"/>
    <n v="77189.46847210385"/>
    <n v="72417.225484248964"/>
    <n v="4772.2429878548865"/>
  </r>
  <r>
    <x v="20"/>
    <x v="10"/>
    <n v="0"/>
    <x v="2"/>
    <s v="Østdanmark"/>
    <n v="160738.91424393514"/>
    <n v="0"/>
    <n v="0"/>
    <n v="0"/>
    <n v="0"/>
    <n v="0"/>
    <n v="0"/>
    <n v="0"/>
    <n v="160738.91424393514"/>
    <n v="0"/>
    <n v="0"/>
    <n v="0"/>
    <n v="0"/>
    <n v="0"/>
    <n v="0"/>
    <n v="0"/>
    <n v="0"/>
    <n v="0"/>
    <n v="0"/>
  </r>
  <r>
    <x v="21"/>
    <x v="10"/>
    <n v="0"/>
    <x v="2"/>
    <s v="Østdanmark"/>
    <n v="539879.99665096425"/>
    <n v="0"/>
    <n v="0"/>
    <n v="111975.50765955324"/>
    <n v="0"/>
    <n v="0"/>
    <n v="0"/>
    <n v="0"/>
    <n v="427904.488991411"/>
    <n v="0"/>
    <n v="0"/>
    <n v="0"/>
    <n v="0"/>
    <n v="0"/>
    <n v="0"/>
    <n v="0"/>
    <n v="0"/>
    <n v="0"/>
    <n v="0"/>
  </r>
  <r>
    <x v="22"/>
    <x v="5"/>
    <n v="1"/>
    <x v="2"/>
    <s v="Østdanmark"/>
    <n v="1263803.7512143303"/>
    <n v="368193.19308724854"/>
    <n v="0"/>
    <n v="268249.01834925939"/>
    <n v="0"/>
    <n v="0"/>
    <n v="0"/>
    <n v="0"/>
    <n v="627361.53977782233"/>
    <n v="627361.53977782233"/>
    <n v="0"/>
    <n v="2.148625443123473"/>
    <n v="2.148625443123473"/>
    <n v="0"/>
    <n v="2.148625443123473"/>
    <n v="194482.07733112492"/>
    <n v="194482.07733112492"/>
    <n v="0"/>
    <n v="194482.07733112492"/>
  </r>
  <r>
    <x v="23"/>
    <x v="10"/>
    <n v="0"/>
    <x v="2"/>
    <s v="Østdanmark"/>
    <n v="0"/>
    <n v="0"/>
    <n v="0"/>
    <n v="0"/>
    <n v="0"/>
    <n v="428883.93622894585"/>
    <n v="0"/>
    <n v="0"/>
    <n v="-428883.93622894585"/>
    <n v="0"/>
    <n v="0"/>
    <n v="0"/>
    <n v="0"/>
    <n v="0"/>
    <n v="0"/>
    <n v="0"/>
    <n v="0"/>
    <n v="0"/>
    <n v="0"/>
  </r>
  <r>
    <x v="24"/>
    <x v="2"/>
    <n v="1"/>
    <x v="2"/>
    <s v="Østdanmark"/>
    <n v="389113.08134287433"/>
    <n v="0"/>
    <n v="0"/>
    <n v="0"/>
    <n v="350201.77320858691"/>
    <n v="38911.308134287421"/>
    <n v="0"/>
    <n v="0"/>
    <n v="0"/>
    <n v="0"/>
    <n v="350201.77320858691"/>
    <n v="0"/>
    <n v="0.17726863558045464"/>
    <n v="0.17726863558045464"/>
    <n v="0"/>
    <n v="0"/>
    <n v="26615.334763852603"/>
    <n v="26615.334763852603"/>
    <n v="0"/>
  </r>
  <r>
    <x v="25"/>
    <x v="10"/>
    <n v="0"/>
    <x v="2"/>
    <s v="Østdanmark"/>
    <n v="48832.551981699173"/>
    <n v="94582.81637840427"/>
    <n v="0"/>
    <n v="0"/>
    <n v="0"/>
    <n v="0"/>
    <n v="0"/>
    <n v="0"/>
    <n v="-45750.264396705097"/>
    <n v="0"/>
    <n v="0"/>
    <n v="0"/>
    <n v="0"/>
    <n v="0"/>
    <n v="0"/>
    <n v="0"/>
    <n v="0"/>
    <n v="0"/>
    <n v="0"/>
  </r>
  <r>
    <x v="26"/>
    <x v="4"/>
    <n v="1"/>
    <x v="2"/>
    <s v="Østdanmark"/>
    <n v="879333.41051066038"/>
    <n v="356442.16067445499"/>
    <n v="0"/>
    <n v="0"/>
    <n v="0"/>
    <n v="0"/>
    <n v="0"/>
    <n v="0"/>
    <n v="522891.24983620539"/>
    <n v="30250.2127053187"/>
    <n v="0"/>
    <n v="0.10859826361209414"/>
    <n v="0.10859826361209414"/>
    <n v="0"/>
    <n v="0.10859826361209414"/>
    <n v="9075.0638115956099"/>
    <n v="9075.0638115956099"/>
    <n v="0"/>
    <n v="9075.0638115956099"/>
  </r>
  <r>
    <x v="27"/>
    <x v="10"/>
    <n v="0"/>
    <x v="2"/>
    <s v="Østdanmark"/>
    <n v="94221.48175062571"/>
    <n v="0"/>
    <n v="0"/>
    <n v="428214.02929147833"/>
    <n v="0"/>
    <n v="0"/>
    <n v="0"/>
    <n v="0"/>
    <n v="-333992.54754085263"/>
    <n v="0"/>
    <n v="0"/>
    <n v="0"/>
    <n v="0"/>
    <n v="0"/>
    <n v="0"/>
    <n v="0"/>
    <n v="0"/>
    <n v="0"/>
    <n v="0"/>
  </r>
  <r>
    <x v="28"/>
    <x v="6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</r>
  <r>
    <x v="29"/>
    <x v="10"/>
    <n v="0"/>
    <x v="2"/>
    <s v="Østdanmark"/>
    <n v="2788.1222579681466"/>
    <n v="0"/>
    <n v="0"/>
    <n v="27206.356861018925"/>
    <n v="0"/>
    <n v="0"/>
    <n v="0"/>
    <n v="0"/>
    <n v="-24418.23460305078"/>
    <n v="0"/>
    <n v="0"/>
    <n v="0"/>
    <n v="0"/>
    <n v="0"/>
    <n v="0"/>
    <n v="0"/>
    <n v="0"/>
    <n v="0"/>
    <n v="0"/>
  </r>
  <r>
    <x v="30"/>
    <x v="10"/>
    <n v="0"/>
    <x v="2"/>
    <s v="Østdanmark"/>
    <n v="353112.97272373439"/>
    <n v="0"/>
    <n v="0"/>
    <n v="0"/>
    <n v="0"/>
    <n v="0"/>
    <n v="0"/>
    <n v="0"/>
    <n v="353112.97272373439"/>
    <n v="0"/>
    <n v="0"/>
    <n v="0"/>
    <n v="0"/>
    <n v="0"/>
    <n v="0"/>
    <n v="0"/>
    <n v="0"/>
    <n v="0"/>
    <n v="0"/>
  </r>
  <r>
    <x v="31"/>
    <x v="7"/>
    <n v="1"/>
    <x v="2"/>
    <s v="Østdanmark"/>
    <n v="30151.8698273154"/>
    <n v="0"/>
    <n v="0"/>
    <n v="0"/>
    <n v="0"/>
    <n v="0"/>
    <n v="30151.8698273154"/>
    <n v="0"/>
    <n v="0"/>
    <n v="0"/>
    <n v="30151.8698273154"/>
    <n v="0"/>
    <n v="0.55479440482260323"/>
    <n v="0"/>
    <n v="0.55479440482260323"/>
    <n v="0"/>
    <n v="12513.025978335892"/>
    <n v="0"/>
    <n v="12513.025978335892"/>
  </r>
  <r>
    <x v="32"/>
    <x v="8"/>
    <n v="1"/>
    <x v="2"/>
    <s v="Østdanmark"/>
    <n v="396273.58464931493"/>
    <n v="0"/>
    <n v="0"/>
    <n v="0"/>
    <n v="0"/>
    <n v="0"/>
    <n v="396273.58464931493"/>
    <n v="0"/>
    <n v="0"/>
    <n v="0"/>
    <n v="396273.58464931493"/>
    <n v="0"/>
    <n v="3.5511774235787885"/>
    <n v="0"/>
    <n v="3.5511774235787885"/>
    <n v="0"/>
    <n v="0"/>
    <n v="0"/>
    <n v="0"/>
  </r>
  <r>
    <x v="33"/>
    <x v="8"/>
    <n v="1"/>
    <x v="2"/>
    <s v="Østdanmark"/>
    <n v="99068.396162328732"/>
    <n v="0"/>
    <n v="0"/>
    <n v="0"/>
    <n v="0"/>
    <n v="0"/>
    <n v="99068.396162328732"/>
    <n v="0"/>
    <n v="0"/>
    <n v="0"/>
    <n v="99068.396162328732"/>
    <n v="0"/>
    <n v="3.2958640140404443"/>
    <n v="0"/>
    <n v="3.2958640140404443"/>
    <n v="0"/>
    <n v="0"/>
    <n v="0"/>
    <n v="0"/>
  </r>
  <r>
    <x v="34"/>
    <x v="10"/>
    <n v="0"/>
    <x v="2"/>
    <s v="Østdanmark"/>
    <n v="146722.08587930756"/>
    <n v="0"/>
    <n v="0"/>
    <n v="0"/>
    <n v="0"/>
    <n v="0"/>
    <n v="0"/>
    <n v="0"/>
    <n v="146722.08587930756"/>
    <n v="0"/>
    <n v="0"/>
    <n v="0"/>
    <n v="0"/>
    <n v="0"/>
    <n v="0"/>
    <n v="0"/>
    <n v="0"/>
    <n v="0"/>
    <n v="0"/>
  </r>
  <r>
    <x v="35"/>
    <x v="10"/>
    <n v="0"/>
    <x v="2"/>
    <s v="Østdanmark"/>
    <n v="189586.12196995915"/>
    <n v="0"/>
    <n v="0"/>
    <n v="0"/>
    <n v="0"/>
    <n v="0"/>
    <n v="0"/>
    <n v="189586.1219699591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4793.060984979573"/>
    <n v="38608.730223956329"/>
    <n v="0"/>
    <n v="0"/>
    <n v="0"/>
    <n v="0"/>
    <n v="0"/>
    <n v="0"/>
    <n v="56184.330761023244"/>
    <n v="0"/>
    <n v="0"/>
    <n v="0"/>
    <n v="0"/>
    <n v="0"/>
    <n v="0"/>
    <n v="0"/>
    <n v="0"/>
    <n v="0"/>
    <n v="0"/>
  </r>
  <r>
    <x v="37"/>
    <x v="9"/>
    <n v="1"/>
    <x v="2"/>
    <s v="Østdanmark"/>
    <n v="60667.559030386925"/>
    <n v="0"/>
    <n v="0"/>
    <n v="0"/>
    <n v="0"/>
    <n v="0"/>
    <n v="60667.559030386925"/>
    <n v="0"/>
    <n v="0"/>
    <n v="0"/>
    <n v="60667.559030386925"/>
    <n v="0"/>
    <n v="2.1233645660635423"/>
    <n v="0"/>
    <n v="2.1233645660635423"/>
    <n v="0"/>
    <n v="0"/>
    <n v="0"/>
    <n v="0"/>
  </r>
  <r>
    <x v="38"/>
    <x v="4"/>
    <n v="1"/>
    <x v="2"/>
    <s v="Østdanmark"/>
    <n v="172146.61258475881"/>
    <n v="54392.16644359615"/>
    <n v="0"/>
    <n v="0"/>
    <n v="0"/>
    <n v="0"/>
    <n v="0"/>
    <n v="0"/>
    <n v="117754.44614116265"/>
    <n v="117754.44614116265"/>
    <n v="0"/>
    <n v="0.31959027700496112"/>
    <n v="0.31959027700496112"/>
    <n v="0"/>
    <n v="0.31959027700496112"/>
    <n v="23550.889228232532"/>
    <n v="23550.889228232532"/>
    <n v="0"/>
    <n v="23550.889228232532"/>
  </r>
  <r>
    <x v="39"/>
    <x v="10"/>
    <n v="0"/>
    <x v="2"/>
    <s v="Østdanmark"/>
    <n v="7974.0452731213709"/>
    <n v="0"/>
    <n v="0"/>
    <n v="0"/>
    <n v="0"/>
    <n v="0"/>
    <n v="0"/>
    <n v="0"/>
    <n v="7974.0452731213709"/>
    <n v="0"/>
    <n v="0"/>
    <n v="0"/>
    <n v="0"/>
    <n v="0"/>
    <n v="0"/>
    <n v="0"/>
    <n v="0"/>
    <n v="0"/>
    <n v="0"/>
  </r>
  <r>
    <x v="40"/>
    <x v="10"/>
    <n v="0"/>
    <x v="2"/>
    <s v="Østdanmark"/>
    <n v="6400.6434427366366"/>
    <n v="2409.7062023999997"/>
    <n v="0"/>
    <n v="0"/>
    <n v="0"/>
    <n v="0"/>
    <n v="0"/>
    <n v="0"/>
    <n v="3990.9372403366369"/>
    <n v="0"/>
    <n v="0"/>
    <n v="0"/>
    <n v="0"/>
    <n v="0"/>
    <n v="0"/>
    <n v="0"/>
    <n v="0"/>
    <n v="0"/>
    <n v="0"/>
  </r>
  <r>
    <x v="41"/>
    <x v="1"/>
    <n v="1"/>
    <x v="2"/>
    <s v="Østdanmark"/>
    <n v="3495456.2673949548"/>
    <n v="0"/>
    <n v="0"/>
    <n v="0"/>
    <n v="3145910.6406554594"/>
    <n v="0"/>
    <n v="0"/>
    <n v="0"/>
    <n v="349545.62673949543"/>
    <n v="349545.62673949543"/>
    <n v="3145910.6406554594"/>
    <n v="0.17442676319927564"/>
    <n v="1.7442676319927566"/>
    <n v="1.5698408687934811"/>
    <n v="0.17442676319927553"/>
    <n v="20972.737604369726"/>
    <n v="209727.37604369727"/>
    <n v="188754.63843932757"/>
    <n v="20972.7376043697"/>
  </r>
  <r>
    <x v="42"/>
    <x v="2"/>
    <n v="1"/>
    <x v="2"/>
    <s v="Østdanmark"/>
    <n v="581889.97753485164"/>
    <n v="0"/>
    <n v="0"/>
    <n v="0"/>
    <n v="523700.97978136648"/>
    <n v="58188.99775348515"/>
    <n v="0"/>
    <n v="0"/>
    <n v="0"/>
    <n v="0"/>
    <n v="523700.97978136648"/>
    <n v="0"/>
    <n v="0.22561038208981271"/>
    <n v="0.22561038208981271"/>
    <n v="0"/>
    <n v="0"/>
    <n v="26185.048989068324"/>
    <n v="26185.048989068324"/>
    <n v="0"/>
  </r>
  <r>
    <x v="43"/>
    <x v="10"/>
    <n v="0"/>
    <x v="2"/>
    <s v="Østdanmark"/>
    <n v="69767.672570394658"/>
    <n v="0"/>
    <n v="0"/>
    <n v="55237.148778432362"/>
    <n v="0"/>
    <n v="0"/>
    <n v="0"/>
    <n v="0"/>
    <n v="14530.523791962296"/>
    <n v="0"/>
    <n v="0"/>
    <n v="0"/>
    <n v="0"/>
    <n v="0"/>
    <n v="0"/>
    <n v="0"/>
    <n v="0"/>
    <n v="0"/>
    <n v="0"/>
  </r>
  <r>
    <x v="44"/>
    <x v="6"/>
    <n v="1"/>
    <x v="2"/>
    <s v="Østdanmark"/>
    <n v="3375"/>
    <n v="0"/>
    <n v="0"/>
    <n v="0"/>
    <n v="0"/>
    <n v="0"/>
    <n v="0"/>
    <n v="0"/>
    <n v="3375"/>
    <n v="3375"/>
    <n v="0"/>
    <n v="3.0290625000000005E-3"/>
    <n v="3.0290625000000005E-3"/>
    <n v="0"/>
    <n v="3.0290625000000005E-3"/>
    <n v="506.25"/>
    <n v="506.25"/>
    <n v="0"/>
    <n v="506.2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453.92541579902"/>
    <n v="0"/>
    <n v="0"/>
    <n v="0"/>
    <n v="0"/>
    <n v="0"/>
    <n v="628453.92541579902"/>
    <n v="0"/>
    <n v="0"/>
    <n v="0"/>
    <n v="628453.92541579902"/>
    <n v="0"/>
    <n v="9.1085402689765971"/>
    <n v="0"/>
    <n v="9.1085402689765971"/>
    <n v="0"/>
    <n v="310822.83727856394"/>
    <n v="0"/>
    <n v="310822.83727856394"/>
  </r>
  <r>
    <x v="47"/>
    <x v="10"/>
    <n v="0"/>
    <x v="2"/>
    <s v="Østdanmark"/>
    <n v="178611.5006135212"/>
    <n v="0"/>
    <n v="0"/>
    <n v="0"/>
    <n v="0"/>
    <n v="0"/>
    <n v="0"/>
    <n v="178611.500613521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5389346.6093405858"/>
    <s v="CO2 - atmosfære"/>
    <x v="0"/>
  </r>
  <r>
    <s v="Vestdanmark"/>
    <x v="1"/>
    <n v="3757296.2112734024"/>
    <s v="Landbrug"/>
    <x v="1"/>
  </r>
  <r>
    <s v="Vestdanmark"/>
    <x v="1"/>
    <n v="3681286.4198718574"/>
    <s v="Landbrug"/>
    <x v="2"/>
  </r>
  <r>
    <s v="Vestdanmark"/>
    <x v="1"/>
    <n v="1037730.0552441033"/>
    <s v="Landbrug"/>
    <x v="2"/>
  </r>
  <r>
    <s v="Vestdanmark"/>
    <x v="1"/>
    <n v="65.998469138771299"/>
    <s v="Landbrug"/>
    <x v="2"/>
  </r>
  <r>
    <s v="Vestdanmark"/>
    <x v="1"/>
    <n v="-3561.6923706055804"/>
    <s v="Hav"/>
    <x v="3"/>
  </r>
  <r>
    <s v="Vestdanmark"/>
    <x v="1"/>
    <n v="-2130264.6471044431"/>
    <s v="Skov"/>
    <x v="4"/>
  </r>
  <r>
    <s v="Vestdanmark"/>
    <x v="1"/>
    <n v="-244637.99819681546"/>
    <s v="Biogasanlæg"/>
    <x v="5"/>
  </r>
  <r>
    <s v="Vestdanmark"/>
    <x v="1"/>
    <n v="-708567.73784604669"/>
    <s v="Pyrolyseproces"/>
    <x v="6"/>
  </r>
  <r>
    <s v="Vestdanmark"/>
    <x v="2"/>
    <n v="-316262.76193725248"/>
    <s v="CO2 - atmosfære"/>
    <x v="0"/>
  </r>
  <r>
    <s v="Vestdanmark"/>
    <x v="2"/>
    <n v="2457845.8133246209"/>
    <s v="Landbrug"/>
    <x v="1"/>
  </r>
  <r>
    <s v="Vestdanmark"/>
    <x v="2"/>
    <n v="3151792.2038981253"/>
    <s v="Landbrug"/>
    <x v="2"/>
  </r>
  <r>
    <s v="Vestdanmark"/>
    <x v="2"/>
    <n v="26.361074410417228"/>
    <s v="Landbrug"/>
    <x v="2"/>
  </r>
  <r>
    <s v="Vestdanmark"/>
    <x v="2"/>
    <n v="65.99846913877127"/>
    <s v="Landbrug"/>
    <x v="2"/>
  </r>
  <r>
    <s v="Vestdanmark"/>
    <x v="2"/>
    <n v="-26712.692779541852"/>
    <s v="Hav"/>
    <x v="3"/>
  </r>
  <r>
    <s v="Vestdanmark"/>
    <x v="2"/>
    <n v="-4538467.9176745266"/>
    <s v="Skov"/>
    <x v="4"/>
  </r>
  <r>
    <s v="Vestdanmark"/>
    <x v="2"/>
    <n v="-190993.28940624089"/>
    <s v="Biogasanlæg"/>
    <x v="5"/>
  </r>
  <r>
    <s v="Vestdanmark"/>
    <x v="2"/>
    <n v="-1169819.2388432384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029634.454794431"/>
    <s v="CO2 - atmosfære"/>
    <x v="0"/>
  </r>
  <r>
    <s v="Østdanmark"/>
    <x v="1"/>
    <n v="335875.99126642098"/>
    <s v="Landbrug"/>
    <x v="1"/>
  </r>
  <r>
    <s v="Østdanmark"/>
    <x v="1"/>
    <n v="1198152.1265894873"/>
    <s v="Landbrug"/>
    <x v="2"/>
  </r>
  <r>
    <s v="Østdanmark"/>
    <x v="1"/>
    <n v="111846.67809052247"/>
    <s v="Landbrug"/>
    <x v="2"/>
  </r>
  <r>
    <s v="Østdanmark"/>
    <x v="1"/>
    <n v="7.1104610596313291"/>
    <s v="Landbrug"/>
    <x v="2"/>
  </r>
  <r>
    <s v="Østdanmark"/>
    <x v="1"/>
    <n v="-894.3604980721251"/>
    <s v="Hav"/>
    <x v="3"/>
  </r>
  <r>
    <s v="Østdanmark"/>
    <x v="1"/>
    <n v="-335436.22053951514"/>
    <s v="Skov"/>
    <x v="4"/>
  </r>
  <r>
    <s v="Østdanmark"/>
    <x v="1"/>
    <n v="-22537.941754853106"/>
    <s v="Biogasanlæg"/>
    <x v="5"/>
  </r>
  <r>
    <s v="Østdanmark"/>
    <x v="1"/>
    <n v="-257378.92882061991"/>
    <s v="Pyrolyseproces"/>
    <x v="6"/>
  </r>
  <r>
    <s v="Østdanmark"/>
    <x v="2"/>
    <n v="222366.16205241915"/>
    <s v="CO2 - atmosfære"/>
    <x v="0"/>
  </r>
  <r>
    <s v="Østdanmark"/>
    <x v="2"/>
    <n v="221534.85436312674"/>
    <s v="Landbrug"/>
    <x v="1"/>
  </r>
  <r>
    <s v="Østdanmark"/>
    <x v="2"/>
    <n v="1136729.8818149928"/>
    <s v="Landbrug"/>
    <x v="2"/>
  </r>
  <r>
    <s v="Østdanmark"/>
    <x v="2"/>
    <n v="2.8411999718285963"/>
    <s v="Landbrug"/>
    <x v="2"/>
  </r>
  <r>
    <s v="Østdanmark"/>
    <x v="2"/>
    <n v="7.11046105963133"/>
    <s v="Landbrug"/>
    <x v="2"/>
  </r>
  <r>
    <s v="Østdanmark"/>
    <x v="2"/>
    <n v="-6707.7037355409384"/>
    <s v="Hav"/>
    <x v="3"/>
  </r>
  <r>
    <s v="Østdanmark"/>
    <x v="2"/>
    <n v="-650382.77600314026"/>
    <s v="Skov"/>
    <x v="4"/>
  </r>
  <r>
    <s v="Østdanmark"/>
    <x v="2"/>
    <n v="-16970.618224622624"/>
    <s v="Biogasanlæg"/>
    <x v="5"/>
  </r>
  <r>
    <s v="Østdanmark"/>
    <x v="2"/>
    <n v="-461847.42782342772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94824.14109362793"/>
    <n v="0"/>
    <n v="0"/>
    <n v="32579.784552999867"/>
    <n v="0"/>
    <n v="0"/>
    <n v="0"/>
    <n v="0"/>
    <n v="162244.3565406280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679900.90308057657"/>
    <n v="0"/>
    <n v="0"/>
    <n v="43439.71273733316"/>
    <n v="0"/>
    <n v="0"/>
    <n v="0"/>
    <n v="0"/>
    <n v="636461.19034324342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205702.08942290704"/>
    <n v="0"/>
    <n v="0"/>
    <n v="0"/>
    <n v="195082.24112879008"/>
    <n v="0"/>
    <n v="10619.848294116964"/>
    <n v="0"/>
    <n v="0"/>
    <n v="0"/>
    <n v="205702.08942290704"/>
    <n v="0"/>
    <n v="0.85421551176676402"/>
    <n v="0.66462763812408632"/>
    <n v="0.18958787364267771"/>
    <n v="0"/>
    <n v="57596.585038413978"/>
    <n v="54623.027516061229"/>
    <n v="2973.5575223527485"/>
    <n v="0"/>
    <x v="1"/>
  </r>
  <r>
    <x v="3"/>
    <s v=""/>
    <n v="1"/>
    <x v="1"/>
    <s v="Vestdanmark"/>
    <n v="428489926.3479389"/>
    <n v="0"/>
    <n v="0"/>
    <n v="0"/>
    <n v="0"/>
    <n v="0"/>
    <n v="428489926.3479389"/>
    <n v="0"/>
    <n v="0"/>
    <n v="0"/>
    <n v="428489926.3479389"/>
    <n v="0"/>
    <n v="0"/>
    <n v="0"/>
    <n v="0"/>
    <n v="0"/>
    <n v="0"/>
    <n v="0"/>
    <n v="0"/>
    <n v="0"/>
    <x v="1"/>
  </r>
  <r>
    <x v="4"/>
    <s v=""/>
    <n v="0"/>
    <x v="1"/>
    <s v="Vestdanmark"/>
    <n v="16166382.724156056"/>
    <n v="0"/>
    <n v="0"/>
    <n v="0"/>
    <n v="0"/>
    <n v="11764874.104094444"/>
    <n v="0"/>
    <n v="0"/>
    <n v="4401508.620061611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50219.4392265794"/>
    <n v="0"/>
    <n v="0"/>
    <n v="0"/>
    <n v="747642.63549727667"/>
    <n v="0"/>
    <n v="0"/>
    <n v="0"/>
    <n v="402576.80372930272"/>
    <n v="402576.80372930272"/>
    <n v="747642.63549727667"/>
    <n v="0.22867412248907362"/>
    <n v="0.65335463568306762"/>
    <n v="0.42468051319399397"/>
    <n v="0.22867412248907365"/>
    <n v="17215.547879927242"/>
    <n v="49187.279656934988"/>
    <n v="31971.731777007746"/>
    <n v="17215.547879927242"/>
    <n v="0"/>
    <x v="0"/>
  </r>
  <r>
    <x v="6"/>
    <s v="Husdyrgødning"/>
    <n v="1"/>
    <x v="1"/>
    <s v="Vestdanmark"/>
    <n v="2606461.4802133911"/>
    <n v="0"/>
    <n v="0"/>
    <n v="0"/>
    <n v="1694199.9621387043"/>
    <n v="345356.14612827433"/>
    <n v="0"/>
    <n v="0"/>
    <n v="566905.3719464126"/>
    <n v="566905.3719464126"/>
    <n v="1694199.9621387043"/>
    <n v="1.2211141711725728"/>
    <n v="4.8704208896193419"/>
    <n v="3.6493067184467689"/>
    <n v="1.221114171172573"/>
    <n v="170071.61158392378"/>
    <n v="678331.6002255351"/>
    <n v="508259.98864161124"/>
    <n v="170071.61158392386"/>
    <n v="0"/>
    <x v="0"/>
  </r>
  <r>
    <x v="7"/>
    <s v=""/>
    <n v="0"/>
    <x v="1"/>
    <s v="Vestdanmark"/>
    <n v="810143.42964363529"/>
    <n v="809601.73248444556"/>
    <n v="0"/>
    <n v="0"/>
    <n v="0"/>
    <n v="0"/>
    <n v="0"/>
    <n v="0"/>
    <n v="541.69715918973088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9271.9401550191069"/>
    <n v="0"/>
    <n v="0"/>
    <n v="0"/>
    <n v="6026.76110076242"/>
    <n v="3245.1790542566873"/>
    <n v="0"/>
    <n v="0"/>
    <n v="0"/>
    <n v="0"/>
    <n v="6026.76110076242"/>
    <n v="0"/>
    <n v="2.8343254780775584E-3"/>
    <n v="2.8343254780775584E-3"/>
    <n v="0"/>
    <n v="0"/>
    <n v="379.68594934803247"/>
    <n v="379.68594934803247"/>
    <n v="0"/>
    <n v="0"/>
    <x v="1"/>
  </r>
  <r>
    <x v="9"/>
    <s v=""/>
    <n v="0"/>
    <x v="1"/>
    <s v="Vestdanmark"/>
    <n v="154481.48271865805"/>
    <n v="0"/>
    <n v="0"/>
    <n v="28235.813279266553"/>
    <n v="0"/>
    <n v="0"/>
    <n v="0"/>
    <n v="0"/>
    <n v="126245.6694393914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6499.36509059242"/>
    <n v="0"/>
    <n v="0"/>
    <n v="0"/>
    <n v="0"/>
    <n v="0"/>
    <n v="0"/>
    <n v="0"/>
    <n v="926499.365090592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29276.58076711251"/>
    <n v="0"/>
    <n v="0"/>
    <n v="257923.29437791562"/>
    <n v="0"/>
    <n v="0"/>
    <n v="0"/>
    <n v="0"/>
    <n v="-128646.7136108031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033560.764952054"/>
    <n v="9338080.0380292125"/>
    <n v="0"/>
    <n v="0"/>
    <n v="0"/>
    <n v="0"/>
    <n v="0"/>
    <n v="2353861.1061256947"/>
    <n v="1341619.620797148"/>
    <n v="1341619.620797148"/>
    <n v="0"/>
    <n v="2.4684123998141527"/>
    <n v="2.4684123998141527"/>
    <n v="0"/>
    <n v="2.4684123998141527"/>
    <n v="375653.49382320145"/>
    <n v="375653.49382320145"/>
    <n v="0"/>
    <n v="375653.49382320145"/>
    <n v="0"/>
    <x v="0"/>
  </r>
  <r>
    <x v="14"/>
    <s v=""/>
    <n v="0"/>
    <x v="1"/>
    <s v="Vestdanmark"/>
    <n v="393498.23725547997"/>
    <n v="393498.2372554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389473.3777842107"/>
    <n v="0"/>
    <n v="0"/>
    <n v="270140.71358529059"/>
    <n v="0"/>
    <n v="0"/>
    <n v="0"/>
    <n v="0"/>
    <n v="1119332.664198920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738776.3609784585"/>
    <n v="0"/>
    <n v="534046.98787814996"/>
    <n v="0"/>
    <n v="0"/>
    <n v="0"/>
    <n v="1119079.1108234245"/>
    <n v="1085650.2622768846"/>
    <n v="0"/>
    <n v="0"/>
    <n v="1119079.1108234245"/>
    <n v="0"/>
    <n v="11.566584967641599"/>
    <n v="0"/>
    <n v="11.566584967641599"/>
    <n v="0"/>
    <n v="951217.24419991078"/>
    <n v="0"/>
    <n v="951217.24419991078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1828597.931611574"/>
    <n v="0"/>
    <n v="0"/>
    <n v="0"/>
    <n v="0"/>
    <n v="0"/>
    <n v="0"/>
    <n v="-1828597.931611574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34537.51475409197"/>
    <n v="0"/>
    <n v="0"/>
    <n v="0"/>
    <n v="415611.46668729465"/>
    <n v="0"/>
    <n v="0"/>
    <n v="0"/>
    <n v="18926.048066797317"/>
    <n v="18926.048066797317"/>
    <n v="415611.46668729465"/>
    <n v="8.2009026659681461E-2"/>
    <n v="1.612772764109391"/>
    <n v="1.5307637374497096"/>
    <n v="8.200902665968135E-2"/>
    <n v="7948.940188054873"/>
    <n v="182505.75619671863"/>
    <n v="174556.81600866374"/>
    <n v="7948.9401880548976"/>
    <n v="0"/>
    <x v="0"/>
  </r>
  <r>
    <x v="20"/>
    <s v=""/>
    <n v="0"/>
    <x v="1"/>
    <s v="Vestdanmark"/>
    <n v="595525.47886913677"/>
    <n v="0"/>
    <n v="0"/>
    <n v="0"/>
    <n v="0"/>
    <n v="0"/>
    <n v="0"/>
    <n v="0"/>
    <n v="595525.4788691367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991290.2581626636"/>
    <n v="0"/>
    <n v="0"/>
    <n v="123531.68309679118"/>
    <n v="0"/>
    <n v="0"/>
    <n v="0"/>
    <n v="0"/>
    <n v="1867758.575065872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561269.4761999724"/>
    <n v="4453697.1570319049"/>
    <n v="0"/>
    <n v="295933.04302308214"/>
    <n v="0"/>
    <n v="0"/>
    <n v="0"/>
    <n v="0"/>
    <n v="-188360.7238550148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28477.143126321"/>
    <n v="0"/>
    <n v="0"/>
    <n v="-1228477.14312632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9142476.9191584084"/>
    <n v="0"/>
    <n v="0"/>
    <n v="0"/>
    <n v="5942609.9974529659"/>
    <n v="3199866.9217054429"/>
    <n v="0"/>
    <n v="0"/>
    <n v="0"/>
    <n v="0"/>
    <n v="5942609.9974529659"/>
    <n v="0"/>
    <n v="3.008089754610717"/>
    <n v="3.008089754610717"/>
    <n v="0"/>
    <n v="0"/>
    <n v="451638.3598064254"/>
    <n v="451638.3598064254"/>
    <n v="0"/>
    <n v="0"/>
    <x v="1"/>
  </r>
  <r>
    <x v="25"/>
    <s v=""/>
    <n v="0"/>
    <x v="1"/>
    <s v="Vestdanmark"/>
    <n v="1143513.3275141963"/>
    <n v="1144082.0425725533"/>
    <n v="0"/>
    <n v="0"/>
    <n v="0"/>
    <n v="0"/>
    <n v="0"/>
    <n v="0"/>
    <n v="-568.7150583569891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911198.5394176375"/>
    <n v="4311555.6383084813"/>
    <n v="0"/>
    <n v="0"/>
    <n v="0"/>
    <n v="0"/>
    <n v="0"/>
    <n v="0"/>
    <n v="-400357.0988908438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206387.2508722222"/>
    <n v="0"/>
    <n v="0"/>
    <n v="472406.87601849809"/>
    <n v="0"/>
    <n v="0"/>
    <n v="0"/>
    <n v="0"/>
    <n v="1733980.37485372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  <n v="0"/>
    <x v="0"/>
  </r>
  <r>
    <x v="29"/>
    <s v=""/>
    <n v="0"/>
    <x v="1"/>
    <s v="Vestdanmark"/>
    <n v="71517.739783611425"/>
    <n v="0"/>
    <n v="0"/>
    <n v="48022.602431121806"/>
    <n v="0"/>
    <n v="0"/>
    <n v="0"/>
    <n v="0"/>
    <n v="23495.137352489619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306243.4433962547"/>
    <n v="0"/>
    <n v="0"/>
    <n v="0"/>
    <n v="0"/>
    <n v="0"/>
    <n v="0"/>
    <n v="0"/>
    <n v="1306243.443396254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4648.5815119847"/>
    <n v="0"/>
    <n v="0"/>
    <n v="0"/>
    <n v="0"/>
    <n v="0"/>
    <n v="124648.5815119847"/>
    <n v="0"/>
    <n v="0"/>
    <n v="0"/>
    <n v="124648.5815119847"/>
    <n v="0"/>
    <n v="2.2935338998205181"/>
    <n v="0"/>
    <n v="2.2935338998205181"/>
    <n v="0"/>
    <n v="51729.161327473652"/>
    <n v="0"/>
    <n v="51729.161327473652"/>
    <n v="0"/>
    <x v="1"/>
  </r>
  <r>
    <x v="32"/>
    <s v="Pyrolyseprodukter"/>
    <n v="1"/>
    <x v="1"/>
    <s v="Vestdanmark"/>
    <n v="607964.14687505551"/>
    <n v="0"/>
    <n v="0"/>
    <n v="0"/>
    <n v="0"/>
    <n v="0"/>
    <n v="607964.14687505551"/>
    <n v="0"/>
    <n v="0"/>
    <n v="0"/>
    <n v="607964.14687505551"/>
    <n v="0"/>
    <n v="5.448227276210317"/>
    <n v="0"/>
    <n v="5.448227276210317"/>
    <n v="0"/>
    <n v="0"/>
    <n v="0"/>
    <n v="0"/>
    <n v="0"/>
    <x v="1"/>
  </r>
  <r>
    <x v="33"/>
    <s v="Pyrolyseprodukter"/>
    <n v="1"/>
    <x v="1"/>
    <s v="Vestdanmark"/>
    <n v="151991.03671876388"/>
    <n v="0"/>
    <n v="0"/>
    <n v="0"/>
    <n v="0"/>
    <n v="0"/>
    <n v="151991.03671876388"/>
    <n v="0"/>
    <n v="0"/>
    <n v="0"/>
    <n v="151991.03671876388"/>
    <n v="0"/>
    <n v="5.0565246615808173"/>
    <n v="0"/>
    <n v="5.0565246615808173"/>
    <n v="0"/>
    <n v="0"/>
    <n v="0"/>
    <n v="0"/>
    <n v="0"/>
    <x v="1"/>
  </r>
  <r>
    <x v="34"/>
    <s v=""/>
    <n v="0"/>
    <x v="1"/>
    <s v="Vestdanmark"/>
    <n v="3435795.4650117112"/>
    <n v="0"/>
    <n v="0"/>
    <n v="0"/>
    <n v="0"/>
    <n v="0"/>
    <n v="0"/>
    <n v="0"/>
    <n v="3435795.465011711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11488.80572798639"/>
    <n v="0"/>
    <n v="0"/>
    <n v="0"/>
    <n v="0"/>
    <n v="0"/>
    <n v="0"/>
    <n v="611488.8057279863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05744.40286399319"/>
    <n v="327903.85901311738"/>
    <n v="0"/>
    <n v="0"/>
    <n v="0"/>
    <n v="0"/>
    <n v="0"/>
    <n v="0"/>
    <n v="-22159.45614912419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95676.41783295566"/>
    <n v="0"/>
    <n v="0"/>
    <n v="0"/>
    <n v="0"/>
    <n v="0"/>
    <n v="195676.41783295566"/>
    <n v="0"/>
    <n v="0"/>
    <n v="0"/>
    <n v="195676.41783295566"/>
    <n v="0"/>
    <n v="6.8486746241534471"/>
    <n v="0"/>
    <n v="6.8486746241534471"/>
    <n v="0"/>
    <n v="0"/>
    <n v="0"/>
    <n v="0"/>
    <n v="0"/>
    <x v="1"/>
  </r>
  <r>
    <x v="38"/>
    <s v="Græs og urter"/>
    <n v="1"/>
    <x v="1"/>
    <s v="Vestdanmark"/>
    <n v="618312.90012796305"/>
    <n v="657932.41592395958"/>
    <n v="0"/>
    <n v="0"/>
    <n v="0"/>
    <n v="0"/>
    <n v="0"/>
    <n v="0"/>
    <n v="-39619.515795996529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23110.59014042643"/>
    <n v="0"/>
    <n v="0"/>
    <n v="0"/>
    <n v="0"/>
    <n v="0"/>
    <n v="0"/>
    <n v="0"/>
    <n v="123110.59014042643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81653.889040476832"/>
    <n v="29148.017574479996"/>
    <n v="0"/>
    <n v="0"/>
    <n v="0"/>
    <n v="0"/>
    <n v="0"/>
    <n v="0"/>
    <n v="52505.87146599683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38045.0957457959"/>
    <n v="0"/>
    <n v="0"/>
    <n v="0"/>
    <n v="2559729.3122347672"/>
    <n v="0"/>
    <n v="0"/>
    <n v="0"/>
    <n v="1378315.7835110286"/>
    <n v="1378315.7835110286"/>
    <n v="2559729.3122347672"/>
    <n v="0.68779335912983852"/>
    <n v="1.9651238832281099"/>
    <n v="1.2773305240982713"/>
    <n v="0.68779335912983863"/>
    <n v="82698.947010661708"/>
    <n v="236282.70574474774"/>
    <n v="153583.75873408603"/>
    <n v="82698.947010661708"/>
    <n v="0"/>
    <x v="0"/>
  </r>
  <r>
    <x v="42"/>
    <s v="Husdyrgødning"/>
    <n v="1"/>
    <x v="1"/>
    <s v="Vestdanmark"/>
    <n v="8433355.9839573242"/>
    <n v="0"/>
    <n v="0"/>
    <n v="0"/>
    <n v="5481681.3895722609"/>
    <n v="2951674.5943850633"/>
    <n v="0"/>
    <n v="0"/>
    <n v="0"/>
    <n v="0"/>
    <n v="5481681.3895722609"/>
    <n v="0"/>
    <n v="2.3615083426277304"/>
    <n v="2.3615083426277304"/>
    <n v="0"/>
    <n v="0"/>
    <n v="274084.06947861303"/>
    <n v="274084.06947861303"/>
    <n v="0"/>
    <n v="0"/>
    <x v="1"/>
  </r>
  <r>
    <x v="43"/>
    <s v=""/>
    <n v="0"/>
    <x v="1"/>
    <s v="Vestdanmark"/>
    <n v="864230.08073603199"/>
    <n v="0"/>
    <n v="0"/>
    <n v="97500.435238944279"/>
    <n v="0"/>
    <n v="0"/>
    <n v="0"/>
    <n v="0"/>
    <n v="766729.64549708774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n v="0"/>
    <x v="1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980.58679378763"/>
    <n v="0"/>
    <n v="0"/>
    <n v="33849.968886444818"/>
    <n v="0"/>
    <n v="0"/>
    <n v="0"/>
    <n v="0"/>
    <n v="133130.6179073428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512449.0981881597"/>
    <n v="0"/>
    <n v="0"/>
    <n v="112833.22962148272"/>
    <n v="0"/>
    <n v="0"/>
    <n v="0"/>
    <n v="0"/>
    <n v="399615.868566676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209913.46379772766"/>
    <n v="0"/>
    <n v="0"/>
    <n v="0"/>
    <n v="197484.23354298095"/>
    <n v="0"/>
    <n v="12429.230254746712"/>
    <n v="0"/>
    <n v="0"/>
    <n v="0"/>
    <n v="209913.46379772766"/>
    <n v="0"/>
    <n v="0.89470036950988652"/>
    <n v="0.67281101009991739"/>
    <n v="0.22188935940996912"/>
    <n v="0"/>
    <n v="58775.769863363748"/>
    <n v="55295.585392034671"/>
    <n v="3480.1844713290775"/>
    <n v="0"/>
    <x v="1"/>
  </r>
  <r>
    <x v="3"/>
    <s v=""/>
    <n v="1"/>
    <x v="2"/>
    <s v="Vestdanmark"/>
    <n v="418368241.60967106"/>
    <n v="0"/>
    <n v="0"/>
    <n v="0"/>
    <n v="0"/>
    <n v="0"/>
    <n v="418368241.60967106"/>
    <n v="0"/>
    <n v="0"/>
    <n v="0"/>
    <n v="418368241.60967106"/>
    <n v="0"/>
    <n v="0"/>
    <n v="0"/>
    <n v="0"/>
    <n v="0"/>
    <n v="0"/>
    <n v="0"/>
    <n v="0"/>
    <n v="0"/>
    <x v="1"/>
  </r>
  <r>
    <x v="4"/>
    <s v=""/>
    <n v="0"/>
    <x v="2"/>
    <s v="Vestdanmark"/>
    <n v="15158237.369996985"/>
    <n v="0"/>
    <n v="0"/>
    <n v="0"/>
    <n v="0"/>
    <n v="8808668.0901926495"/>
    <n v="0"/>
    <n v="0"/>
    <n v="6349569.279804335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498559.3273214886"/>
    <n v="0"/>
    <n v="0"/>
    <n v="0"/>
    <n v="1348703.3945893398"/>
    <n v="0"/>
    <n v="0"/>
    <n v="0"/>
    <n v="149855.93273214879"/>
    <n v="149855.93273214879"/>
    <n v="1348703.3945893398"/>
    <n v="8.5122077575905453E-2"/>
    <n v="0.85122077575905486"/>
    <n v="0.76609869818314946"/>
    <n v="8.5122077575905397E-2"/>
    <n v="6408.3473293612469"/>
    <n v="64083.473293612493"/>
    <n v="57675.125964251252"/>
    <n v="6408.3473293612406"/>
    <n v="0"/>
    <x v="0"/>
  </r>
  <r>
    <x v="6"/>
    <s v="Husdyrgødning"/>
    <n v="1"/>
    <x v="2"/>
    <s v="Vestdanmark"/>
    <n v="2082202.1893277755"/>
    <n v="0"/>
    <n v="0"/>
    <n v="0"/>
    <n v="1873981.9703949981"/>
    <n v="78826.225738837195"/>
    <n v="0"/>
    <n v="0"/>
    <n v="129393.99319394026"/>
    <n v="129393.99319394026"/>
    <n v="1873981.9703949981"/>
    <n v="0.27871466133974732"/>
    <n v="4.3152718255705729"/>
    <n v="4.0365571642308256"/>
    <n v="0.27871466133974732"/>
    <n v="38818.197958182078"/>
    <n v="601012.78907668148"/>
    <n v="562194.5911184994"/>
    <n v="38818.197958182078"/>
    <n v="0"/>
    <x v="0"/>
  </r>
  <r>
    <x v="7"/>
    <s v=""/>
    <n v="0"/>
    <x v="2"/>
    <s v="Vestdanmark"/>
    <n v="1055492.501306559"/>
    <n v="1056621.1648235293"/>
    <n v="0"/>
    <n v="0"/>
    <n v="0"/>
    <n v="0"/>
    <n v="0"/>
    <n v="0"/>
    <n v="-1128.663516970351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10635.968089703798"/>
    <n v="0"/>
    <n v="0"/>
    <n v="0"/>
    <n v="9572.3712807334177"/>
    <n v="1063.5968089703795"/>
    <n v="0"/>
    <n v="0"/>
    <n v="0"/>
    <n v="0"/>
    <n v="9572.3712807334177"/>
    <n v="0"/>
    <n v="4.5017904896161188E-3"/>
    <n v="4.5017904896161188E-3"/>
    <n v="0"/>
    <n v="0"/>
    <n v="603.05939068620535"/>
    <n v="603.05939068620535"/>
    <n v="0"/>
    <n v="0"/>
    <x v="1"/>
  </r>
  <r>
    <x v="9"/>
    <s v=""/>
    <n v="0"/>
    <x v="2"/>
    <s v="Vestdanmark"/>
    <n v="114630.7911507355"/>
    <n v="0"/>
    <n v="0"/>
    <n v="18335.399813490942"/>
    <n v="0"/>
    <n v="0"/>
    <n v="0"/>
    <n v="0"/>
    <n v="96295.391337244568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678133.0288987807"/>
    <n v="0"/>
    <n v="0"/>
    <n v="0"/>
    <n v="0"/>
    <n v="0"/>
    <n v="0"/>
    <n v="0"/>
    <n v="678133.028898780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99745.33232665222"/>
    <n v="0"/>
    <n v="0"/>
    <n v="267978.92035102146"/>
    <n v="0"/>
    <n v="0"/>
    <n v="0"/>
    <n v="0"/>
    <n v="-168233.58802436924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7806013.0843895487"/>
    <n v="6347522.3700933382"/>
    <n v="0"/>
    <n v="0"/>
    <n v="0"/>
    <n v="0"/>
    <n v="0"/>
    <n v="3066719.6149769477"/>
    <n v="-1608228.9006807376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12667.7863489"/>
    <n v="512667.78634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076409.0953461644"/>
    <n v="0"/>
    <n v="0"/>
    <n v="280672.65868343826"/>
    <n v="0"/>
    <n v="0"/>
    <n v="0"/>
    <n v="0"/>
    <n v="795736.436662726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628820.8537958581"/>
    <n v="0"/>
    <n v="353380.39040849992"/>
    <n v="0"/>
    <n v="0"/>
    <n v="0"/>
    <n v="483071.86454684939"/>
    <n v="1792368.5988405086"/>
    <n v="0"/>
    <n v="0"/>
    <n v="483071.86454684939"/>
    <n v="0"/>
    <n v="4.9929372398407832"/>
    <n v="0"/>
    <n v="4.9929372398407832"/>
    <n v="0"/>
    <n v="410611.08486482198"/>
    <n v="0"/>
    <n v="410611.08486482198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49165.19104178954"/>
    <n v="0"/>
    <n v="0"/>
    <n v="0"/>
    <n v="327578.03456131206"/>
    <n v="0"/>
    <n v="0"/>
    <n v="0"/>
    <n v="21587.156480477483"/>
    <n v="21587.156480477483"/>
    <n v="327578.03456131206"/>
    <n v="9.3539955360251406E-2"/>
    <n v="1.3000624329241111"/>
    <n v="1.2065224775638597"/>
    <n v="9.3539955360251392E-2"/>
    <n v="9066.6057218005426"/>
    <n v="146649.38023755161"/>
    <n v="137582.77451575105"/>
    <n v="9066.605721800559"/>
    <n v="0"/>
    <x v="0"/>
  </r>
  <r>
    <x v="20"/>
    <s v=""/>
    <n v="0"/>
    <x v="2"/>
    <s v="Vestdanmark"/>
    <n v="445678.82311442285"/>
    <n v="0"/>
    <n v="0"/>
    <n v="0"/>
    <n v="0"/>
    <n v="0"/>
    <n v="0"/>
    <n v="0"/>
    <n v="445678.8231144228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6919.3793012851"/>
    <n v="0"/>
    <n v="0"/>
    <n v="128347.79869443661"/>
    <n v="0"/>
    <n v="0"/>
    <n v="0"/>
    <n v="0"/>
    <n v="1368571.580606848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504131.9697836237"/>
    <n v="3027382.7402155623"/>
    <n v="0"/>
    <n v="307470.55071854044"/>
    <n v="0"/>
    <n v="0"/>
    <n v="0"/>
    <n v="0"/>
    <n v="169278.67884952109"/>
    <n v="169278.67884952109"/>
    <n v="0"/>
    <n v="0.57975577604457096"/>
    <n v="0.57975577604457096"/>
    <n v="0"/>
    <n v="0.57975577604457096"/>
    <n v="52476.390443351542"/>
    <n v="52476.390443351542"/>
    <n v="0"/>
    <n v="52476.390443351542"/>
    <n v="0"/>
    <x v="0"/>
  </r>
  <r>
    <x v="23"/>
    <s v=""/>
    <n v="0"/>
    <x v="2"/>
    <s v="Vestdanmark"/>
    <n v="0"/>
    <n v="0"/>
    <n v="0"/>
    <n v="0"/>
    <n v="0"/>
    <n v="1105939.1537963203"/>
    <n v="0"/>
    <n v="0"/>
    <n v="-1105939.153796320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5474759.0908073736"/>
    <n v="0"/>
    <n v="0"/>
    <n v="0"/>
    <n v="4927283.1817266364"/>
    <n v="547475.90908073727"/>
    <n v="0"/>
    <n v="0"/>
    <n v="0"/>
    <n v="0"/>
    <n v="4927283.1817266364"/>
    <n v="0"/>
    <n v="2.4941414737582064"/>
    <n v="2.4941414737582064"/>
    <n v="0"/>
    <n v="0"/>
    <n v="374473.52181122435"/>
    <n v="374473.52181122435"/>
    <n v="0"/>
    <n v="0"/>
    <x v="1"/>
  </r>
  <r>
    <x v="25"/>
    <s v=""/>
    <n v="0"/>
    <x v="2"/>
    <s v="Vestdanmark"/>
    <n v="687066.23012129939"/>
    <n v="777685.16963622137"/>
    <n v="0"/>
    <n v="0"/>
    <n v="0"/>
    <n v="0"/>
    <n v="0"/>
    <n v="0"/>
    <n v="-90618.93951492197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2438121.5770907253"/>
    <n v="2930762.614221612"/>
    <n v="0"/>
    <n v="0"/>
    <n v="0"/>
    <n v="0"/>
    <n v="0"/>
    <n v="0"/>
    <n v="-492641.03713088669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1325681.2440829689"/>
    <n v="0"/>
    <n v="0"/>
    <n v="490824.54885344987"/>
    <n v="0"/>
    <n v="0"/>
    <n v="0"/>
    <n v="0"/>
    <n v="834856.695229519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  <n v="0"/>
    <x v="0"/>
  </r>
  <r>
    <x v="29"/>
    <s v=""/>
    <n v="0"/>
    <x v="2"/>
    <s v="Vestdanmark"/>
    <n v="39228.436179566699"/>
    <n v="0"/>
    <n v="0"/>
    <n v="31184.283836637289"/>
    <n v="0"/>
    <n v="0"/>
    <n v="0"/>
    <n v="0"/>
    <n v="8044.1523429294102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979071.82930248126"/>
    <n v="0"/>
    <n v="0"/>
    <n v="0"/>
    <n v="0"/>
    <n v="0"/>
    <n v="0"/>
    <n v="0"/>
    <n v="979071.8293024812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83602.19105177233"/>
    <n v="0"/>
    <n v="0"/>
    <n v="0"/>
    <n v="0"/>
    <n v="0"/>
    <n v="83602.19105177233"/>
    <n v="0"/>
    <n v="0"/>
    <n v="0"/>
    <n v="83602.19105177233"/>
    <n v="0"/>
    <n v="1.5382803153526106"/>
    <n v="0"/>
    <n v="1.5382803153526106"/>
    <n v="0"/>
    <n v="34694.909286485519"/>
    <n v="0"/>
    <n v="34694.909286485519"/>
    <n v="0"/>
    <x v="1"/>
  </r>
  <r>
    <x v="32"/>
    <s v="Pyrolyseprodukter"/>
    <n v="1"/>
    <x v="2"/>
    <s v="Vestdanmark"/>
    <n v="1003726.4153506849"/>
    <n v="0"/>
    <n v="0"/>
    <n v="0"/>
    <n v="0"/>
    <n v="0"/>
    <n v="1003726.4153506849"/>
    <n v="0"/>
    <n v="0"/>
    <n v="0"/>
    <n v="1003726.4153506849"/>
    <n v="0"/>
    <n v="8.9948225764212069"/>
    <n v="0"/>
    <n v="8.9948225764212069"/>
    <n v="0"/>
    <n v="0"/>
    <n v="0"/>
    <n v="0"/>
    <n v="0"/>
    <x v="1"/>
  </r>
  <r>
    <x v="33"/>
    <s v="Pyrolyseprodukter"/>
    <n v="1"/>
    <x v="2"/>
    <s v="Vestdanmark"/>
    <n v="250931.60383767122"/>
    <n v="0"/>
    <n v="0"/>
    <n v="0"/>
    <n v="0"/>
    <n v="0"/>
    <n v="250931.60383767122"/>
    <n v="0"/>
    <n v="0"/>
    <n v="0"/>
    <n v="250931.60383767122"/>
    <n v="0"/>
    <n v="8.3481359859595514"/>
    <n v="0"/>
    <n v="8.3481359859595514"/>
    <n v="0"/>
    <n v="0"/>
    <n v="0"/>
    <n v="0"/>
    <n v="0"/>
    <x v="1"/>
  </r>
  <r>
    <x v="34"/>
    <s v=""/>
    <n v="0"/>
    <x v="2"/>
    <s v="Vestdanmark"/>
    <n v="2064356.3837992495"/>
    <n v="0"/>
    <n v="0"/>
    <n v="0"/>
    <n v="0"/>
    <n v="0"/>
    <n v="0"/>
    <n v="0"/>
    <n v="2064356.3837992495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5662.49270451744"/>
    <n v="0"/>
    <n v="0"/>
    <n v="0"/>
    <n v="0"/>
    <n v="0"/>
    <n v="0"/>
    <n v="525662.4927045174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831.24635225872"/>
    <n v="317451.28833478229"/>
    <n v="0"/>
    <n v="0"/>
    <n v="0"/>
    <n v="0"/>
    <n v="0"/>
    <n v="0"/>
    <n v="-54620.04198252357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211.99766544558"/>
    <n v="0"/>
    <n v="0"/>
    <n v="0"/>
    <n v="0"/>
    <n v="0"/>
    <n v="168211.99766544558"/>
    <n v="0"/>
    <n v="0"/>
    <n v="0"/>
    <n v="168211.99766544558"/>
    <n v="0"/>
    <n v="5.8874199182905951"/>
    <n v="0"/>
    <n v="5.8874199182905951"/>
    <n v="0"/>
    <n v="0"/>
    <n v="0"/>
    <n v="0"/>
    <n v="0"/>
    <x v="1"/>
  </r>
  <r>
    <x v="38"/>
    <s v="Græs og urter"/>
    <n v="1"/>
    <x v="2"/>
    <s v="Vestdanmark"/>
    <n v="477307.40969257313"/>
    <n v="447226.91507025005"/>
    <n v="0"/>
    <n v="0"/>
    <n v="0"/>
    <n v="0"/>
    <n v="0"/>
    <n v="0"/>
    <n v="30080.49462232308"/>
    <n v="30080.49462232308"/>
    <n v="0"/>
    <n v="8.1639665624769736E-2"/>
    <n v="8.1639665624769736E-2"/>
    <n v="0"/>
    <n v="8.1639665624769736E-2"/>
    <n v="6016.0989244646162"/>
    <n v="6016.0989244646162"/>
    <n v="0"/>
    <n v="6016.0989244646162"/>
    <n v="0"/>
    <x v="0"/>
  </r>
  <r>
    <x v="39"/>
    <s v=""/>
    <n v="0"/>
    <x v="2"/>
    <s v="Vestdanmark"/>
    <n v="68183.93816497142"/>
    <n v="0"/>
    <n v="0"/>
    <n v="0"/>
    <n v="0"/>
    <n v="0"/>
    <n v="0"/>
    <n v="0"/>
    <n v="68183.9381649714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45453.227411200656"/>
    <n v="19813.247781600003"/>
    <n v="0"/>
    <n v="0"/>
    <n v="0"/>
    <n v="0"/>
    <n v="0"/>
    <n v="0"/>
    <n v="25639.97962960065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53942.458256661"/>
    <n v="0"/>
    <n v="0"/>
    <n v="0"/>
    <n v="3648548.212430995"/>
    <n v="0"/>
    <n v="0"/>
    <n v="0"/>
    <n v="405394.245825666"/>
    <n v="405394.245825666"/>
    <n v="3648548.212430995"/>
    <n v="0.20229578260946562"/>
    <n v="2.0229578260946566"/>
    <n v="1.820662043485191"/>
    <n v="0.20229578260946557"/>
    <n v="24323.654749539961"/>
    <n v="243236.54749539966"/>
    <n v="218912.89274585969"/>
    <n v="24323.654749539972"/>
    <n v="0"/>
    <x v="0"/>
  </r>
  <r>
    <x v="42"/>
    <s v="Husdyrgødning"/>
    <n v="1"/>
    <x v="2"/>
    <s v="Vestdanmark"/>
    <n v="4015883.8018844402"/>
    <n v="0"/>
    <n v="0"/>
    <n v="0"/>
    <n v="3614295.4216959961"/>
    <n v="401588.38018844387"/>
    <n v="0"/>
    <n v="0"/>
    <n v="0"/>
    <n v="0"/>
    <n v="3614295.4216959961"/>
    <n v="0"/>
    <n v="1.5570384676666353"/>
    <n v="1.5570384676666353"/>
    <n v="0"/>
    <n v="0"/>
    <n v="180714.77108479981"/>
    <n v="180714.77108479981"/>
    <n v="0"/>
    <n v="0"/>
    <x v="1"/>
  </r>
  <r>
    <x v="43"/>
    <s v=""/>
    <n v="0"/>
    <x v="2"/>
    <s v="Vestdanmark"/>
    <n v="481498.00991175236"/>
    <n v="0"/>
    <n v="0"/>
    <n v="63313.545971354491"/>
    <n v="0"/>
    <n v="0"/>
    <n v="0"/>
    <n v="0"/>
    <n v="418184.4639403978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0125"/>
    <n v="0"/>
    <n v="0"/>
    <n v="0"/>
    <n v="0"/>
    <n v="0"/>
    <n v="0"/>
    <n v="0"/>
    <n v="10125"/>
    <n v="10125"/>
    <n v="0"/>
    <n v="9.0871875000000015E-3"/>
    <n v="9.0871875000000015E-3"/>
    <n v="0"/>
    <n v="9.0871875000000015E-3"/>
    <n v="1518.75"/>
    <n v="1518.75"/>
    <n v="0"/>
    <n v="1518.7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341876.9484984945"/>
    <n v="0"/>
    <n v="0"/>
    <n v="0"/>
    <n v="0"/>
    <n v="0"/>
    <n v="2341876.9484984945"/>
    <n v="0"/>
    <n v="0"/>
    <n v="0"/>
    <n v="2341876.9484984945"/>
    <n v="0"/>
    <n v="33.942154910200387"/>
    <n v="0"/>
    <n v="33.942154910200387"/>
    <n v="0"/>
    <n v="1158253.3074448803"/>
    <n v="0"/>
    <n v="1158253.3074448803"/>
    <n v="0"/>
    <x v="1"/>
  </r>
  <r>
    <x v="47"/>
    <s v=""/>
    <n v="0"/>
    <x v="2"/>
    <s v="Vestdanmark"/>
    <n v="689715.35963233898"/>
    <n v="0"/>
    <n v="0"/>
    <n v="0"/>
    <n v="0"/>
    <n v="0"/>
    <n v="0"/>
    <n v="689715.3596323389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6351.5182499863"/>
    <n v="0"/>
    <n v="0"/>
    <n v="28209.340124628539"/>
    <n v="0"/>
    <n v="0"/>
    <n v="0"/>
    <n v="0"/>
    <n v="-11857.821874642239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19123.20850195418"/>
    <n v="0"/>
    <n v="0"/>
    <n v="37612.453499504722"/>
    <n v="0"/>
    <n v="0"/>
    <n v="0"/>
    <n v="0"/>
    <n v="181510.7550024494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78107.99808813466"/>
    <n v="0"/>
    <n v="0"/>
    <n v="0"/>
    <n v="168912.75887120995"/>
    <n v="0"/>
    <n v="9195.2392169247032"/>
    <n v="0"/>
    <n v="0"/>
    <n v="0"/>
    <n v="178107.99808813466"/>
    <n v="0"/>
    <n v="0.73962600556680191"/>
    <n v="0.57547056732591406"/>
    <n v="0.16415543824088785"/>
    <n v="0"/>
    <n v="49870.23946467771"/>
    <n v="47295.572483938791"/>
    <n v="2574.6669807389189"/>
    <n v="0"/>
    <x v="1"/>
  </r>
  <r>
    <x v="3"/>
    <s v=""/>
    <n v="1"/>
    <x v="1"/>
    <s v="Østdanmark"/>
    <n v="125691068.3984434"/>
    <n v="0"/>
    <n v="0"/>
    <n v="0"/>
    <n v="0"/>
    <n v="0"/>
    <n v="125691068.3984434"/>
    <n v="0"/>
    <n v="0"/>
    <n v="0"/>
    <n v="125691068.3984434"/>
    <n v="0"/>
    <n v="0"/>
    <n v="0"/>
    <n v="0"/>
    <n v="0"/>
    <n v="0"/>
    <n v="0"/>
    <n v="0"/>
    <n v="0"/>
    <x v="1"/>
  </r>
  <r>
    <x v="4"/>
    <s v=""/>
    <n v="0"/>
    <x v="1"/>
    <s v="Østdanmark"/>
    <n v="4106034.5064830724"/>
    <n v="0"/>
    <n v="0"/>
    <n v="0"/>
    <n v="0"/>
    <n v="2988113.0405047191"/>
    <n v="0"/>
    <n v="0"/>
    <n v="1117921.465978353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40741.33871353196"/>
    <n v="0"/>
    <n v="0"/>
    <n v="0"/>
    <n v="91481.870163795786"/>
    <n v="0"/>
    <n v="0"/>
    <n v="0"/>
    <n v="49259.468549736179"/>
    <n v="49259.468549736179"/>
    <n v="91481.870163795786"/>
    <n v="2.7980662672415994E-2"/>
    <n v="7.9944750492617137E-2"/>
    <n v="5.1964087820201142E-2"/>
    <n v="2.7980662672415994E-2"/>
    <n v="2106.50174451675"/>
    <n v="6018.5764129050012"/>
    <n v="3912.0746683882508"/>
    <n v="2106.5017445167505"/>
    <n v="0"/>
    <x v="0"/>
  </r>
  <r>
    <x v="6"/>
    <s v="Husdyrgødning"/>
    <n v="1"/>
    <x v="1"/>
    <s v="Østdanmark"/>
    <n v="358118.32667497953"/>
    <n v="0"/>
    <n v="0"/>
    <n v="0"/>
    <n v="232776.9123387367"/>
    <n v="47450.678284434784"/>
    <n v="0"/>
    <n v="0"/>
    <n v="77890.736051808053"/>
    <n v="77890.736051808053"/>
    <n v="232776.9123387367"/>
    <n v="0.16777664545559454"/>
    <n v="0.6691781146332334"/>
    <n v="0.50140146917763884"/>
    <n v="0.16777664545559456"/>
    <n v="23367.220815542416"/>
    <n v="93200.29451716342"/>
    <n v="69833.073701621004"/>
    <n v="23367.220815542416"/>
    <n v="0"/>
    <x v="0"/>
  </r>
  <r>
    <x v="7"/>
    <s v=""/>
    <n v="0"/>
    <x v="1"/>
    <s v="Østdanmark"/>
    <n v="99129.493859611786"/>
    <n v="99063.211565328063"/>
    <n v="0"/>
    <n v="0"/>
    <n v="0"/>
    <n v="0"/>
    <n v="0"/>
    <n v="0"/>
    <n v="66.28229428372287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78.19051482288"/>
    <n v="0"/>
    <n v="0"/>
    <n v="0"/>
    <n v="505.82383463487201"/>
    <n v="272.36668018800799"/>
    <n v="0"/>
    <n v="0"/>
    <n v="0"/>
    <n v="0"/>
    <n v="505.82383463487201"/>
    <n v="0"/>
    <n v="2.3788389119043396E-4"/>
    <n v="2.3788389119043396E-4"/>
    <n v="0"/>
    <n v="0"/>
    <n v="31.866901581996938"/>
    <n v="31.866901581996938"/>
    <n v="0"/>
    <n v="0"/>
    <x v="1"/>
  </r>
  <r>
    <x v="9"/>
    <s v=""/>
    <n v="0"/>
    <x v="1"/>
    <s v="Østdanmark"/>
    <n v="12965.573823549625"/>
    <n v="0"/>
    <n v="0"/>
    <n v="24448.094774678073"/>
    <n v="0"/>
    <n v="0"/>
    <n v="0"/>
    <n v="0"/>
    <n v="-11482.52095112844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0694.90203982888"/>
    <n v="0"/>
    <n v="0"/>
    <n v="0"/>
    <n v="0"/>
    <n v="0"/>
    <n v="0"/>
    <n v="0"/>
    <n v="300694.9020398288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2029.439455374028"/>
    <n v="0"/>
    <n v="0"/>
    <n v="223323.94265330929"/>
    <n v="0"/>
    <n v="0"/>
    <n v="0"/>
    <n v="0"/>
    <n v="-181294.5031979352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889048.5773336194"/>
    <n v="1142611.4363447551"/>
    <n v="0"/>
    <n v="0"/>
    <n v="0"/>
    <n v="0"/>
    <n v="0"/>
    <n v="288019.44387638377"/>
    <n v="2458417.6971124802"/>
    <n v="2458417.6971124802"/>
    <n v="0"/>
    <n v="4.5231812604748249"/>
    <n v="4.5231812604748249"/>
    <n v="0"/>
    <n v="4.5231812604748249"/>
    <n v="688356.95519149455"/>
    <n v="688356.95519149455"/>
    <n v="0"/>
    <n v="688356.95519149455"/>
    <n v="0"/>
    <x v="0"/>
  </r>
  <r>
    <x v="14"/>
    <s v=""/>
    <n v="0"/>
    <x v="1"/>
    <s v="Østdanmark"/>
    <n v="48148.61130324001"/>
    <n v="48148.61130324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52009.50532141351"/>
    <n v="0"/>
    <n v="0"/>
    <n v="233902.44520004498"/>
    <n v="0"/>
    <n v="0"/>
    <n v="0"/>
    <n v="0"/>
    <n v="218107.06012136853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876609.03680475557"/>
    <n v="0"/>
    <n v="75766.923793950002"/>
    <n v="0"/>
    <n v="0"/>
    <n v="0"/>
    <n v="406492.37528769014"/>
    <n v="394349.73772311531"/>
    <n v="0"/>
    <n v="0"/>
    <n v="406492.37528769014"/>
    <n v="0"/>
    <n v="4.2014264693082932"/>
    <n v="0"/>
    <n v="4.2014264693082932"/>
    <n v="0"/>
    <n v="345518.5189945366"/>
    <n v="0"/>
    <n v="345518.5189945366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223748.01893181339"/>
    <n v="0"/>
    <n v="0"/>
    <n v="0"/>
    <n v="0"/>
    <n v="0"/>
    <n v="0"/>
    <n v="-223748.0189318133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2785.18866068762"/>
    <n v="0"/>
    <n v="0"/>
    <n v="0"/>
    <n v="184388.53331270564"/>
    <n v="0"/>
    <n v="0"/>
    <n v="0"/>
    <n v="8396.655347981985"/>
    <n v="8396.655347981985"/>
    <n v="184388.53331270564"/>
    <n v="3.6383799188001185E-2"/>
    <n v="0.71551636173829269"/>
    <n v="0.67913256255029153"/>
    <n v="3.6383799188001165E-2"/>
    <n v="3526.5952461524334"/>
    <n v="80969.779237488794"/>
    <n v="77443.183991336366"/>
    <n v="3526.5952461524284"/>
    <n v="0"/>
    <x v="0"/>
  </r>
  <r>
    <x v="20"/>
    <s v=""/>
    <n v="0"/>
    <x v="1"/>
    <s v="Østdanmark"/>
    <n v="188679.01735181612"/>
    <n v="0"/>
    <n v="0"/>
    <n v="0"/>
    <n v="0"/>
    <n v="0"/>
    <n v="0"/>
    <n v="0"/>
    <n v="188679.01735181612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29409.67357184645"/>
    <n v="0"/>
    <n v="0"/>
    <n v="106960.41463921656"/>
    <n v="0"/>
    <n v="0"/>
    <n v="0"/>
    <n v="0"/>
    <n v="522449.2589326298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53462.7708228838"/>
    <n v="544956.27419303753"/>
    <n v="0"/>
    <n v="256234.83946537593"/>
    <n v="0"/>
    <n v="0"/>
    <n v="0"/>
    <n v="0"/>
    <n v="652271.65716447029"/>
    <n v="463910.9333094554"/>
    <n v="0"/>
    <n v="1.5888299990542216"/>
    <n v="1.5888299990542216"/>
    <n v="0"/>
    <n v="1.5888299990542216"/>
    <n v="143812.38932593117"/>
    <n v="143812.38932593117"/>
    <n v="0"/>
    <n v="143812.38932593117"/>
    <n v="0"/>
    <x v="0"/>
  </r>
  <r>
    <x v="23"/>
    <s v=""/>
    <n v="0"/>
    <x v="1"/>
    <s v="Østdanmark"/>
    <n v="0"/>
    <n v="0"/>
    <n v="0"/>
    <n v="0"/>
    <n v="0"/>
    <n v="491101.64058741054"/>
    <n v="0"/>
    <n v="0"/>
    <n v="-491101.6405874105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649792.49426575436"/>
    <n v="0"/>
    <n v="0"/>
    <n v="0"/>
    <n v="422365.12127274036"/>
    <n v="227427.37299301403"/>
    <n v="0"/>
    <n v="0"/>
    <n v="0"/>
    <n v="0"/>
    <n v="422365.12127274036"/>
    <n v="0"/>
    <n v="0.21379700073704846"/>
    <n v="0.21379700073704846"/>
    <n v="0"/>
    <n v="0"/>
    <n v="32099.749216728265"/>
    <n v="32099.749216728265"/>
    <n v="0"/>
    <n v="0"/>
    <x v="1"/>
  </r>
  <r>
    <x v="25"/>
    <s v=""/>
    <n v="0"/>
    <x v="1"/>
    <s v="Østdanmark"/>
    <n v="81274.077460835601"/>
    <n v="139990.36425435884"/>
    <n v="0"/>
    <n v="0"/>
    <n v="0"/>
    <n v="0"/>
    <n v="0"/>
    <n v="0"/>
    <n v="-58716.28679352323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200000.8780664324"/>
    <n v="527563.77764006588"/>
    <n v="0"/>
    <n v="0"/>
    <n v="0"/>
    <n v="0"/>
    <n v="0"/>
    <n v="0"/>
    <n v="672437.10042636655"/>
    <n v="272080.00153552275"/>
    <n v="0"/>
    <n v="0.97676720551252683"/>
    <n v="0.97676720551252683"/>
    <n v="0"/>
    <n v="0.97676720551252683"/>
    <n v="81624.000460656825"/>
    <n v="81624.000460656825"/>
    <n v="0"/>
    <n v="81624.000460656825"/>
    <n v="0"/>
    <x v="0"/>
  </r>
  <r>
    <x v="27"/>
    <s v=""/>
    <n v="0"/>
    <x v="1"/>
    <s v="Østdanmark"/>
    <n v="156816.78911937549"/>
    <n v="0"/>
    <n v="0"/>
    <n v="409035.43180711387"/>
    <n v="0"/>
    <n v="0"/>
    <n v="0"/>
    <n v="0"/>
    <n v="-252218.6426877383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  <n v="0"/>
    <x v="0"/>
  </r>
  <r>
    <x v="29"/>
    <s v=""/>
    <n v="0"/>
    <x v="1"/>
    <s v="Østdanmark"/>
    <n v="5083.0525391711781"/>
    <n v="0"/>
    <n v="0"/>
    <n v="41580.567343702467"/>
    <n v="0"/>
    <n v="0"/>
    <n v="0"/>
    <n v="0"/>
    <n v="-36497.514804531289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5381.70094496832"/>
    <n v="0"/>
    <n v="0"/>
    <n v="0"/>
    <n v="0"/>
    <n v="0"/>
    <n v="0"/>
    <n v="0"/>
    <n v="415381.70094496832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6846.931969416735"/>
    <n v="0"/>
    <n v="0"/>
    <n v="0"/>
    <n v="0"/>
    <n v="0"/>
    <n v="36846.931969416735"/>
    <n v="0"/>
    <n v="0"/>
    <n v="0"/>
    <n v="36846.931969416735"/>
    <n v="0"/>
    <n v="0.67798354823726781"/>
    <n v="0"/>
    <n v="0.67798354823726781"/>
    <n v="0"/>
    <n v="15291.476767307946"/>
    <n v="0"/>
    <n v="15291.476767307946"/>
    <n v="0"/>
    <x v="1"/>
  </r>
  <r>
    <x v="32"/>
    <s v="Pyrolyseprodukter"/>
    <n v="1"/>
    <x v="1"/>
    <s v="Østdanmark"/>
    <n v="220835.85312494458"/>
    <n v="0"/>
    <n v="0"/>
    <n v="0"/>
    <n v="0"/>
    <n v="0"/>
    <n v="220835.85312494458"/>
    <n v="0"/>
    <n v="0"/>
    <n v="0"/>
    <n v="220835.85312494458"/>
    <n v="0"/>
    <n v="1.9790047237896813"/>
    <n v="0"/>
    <n v="1.9790047237896813"/>
    <n v="0"/>
    <n v="0"/>
    <n v="0"/>
    <n v="0"/>
    <n v="0"/>
    <x v="1"/>
  </r>
  <r>
    <x v="33"/>
    <s v="Pyrolyseprodukter"/>
    <n v="1"/>
    <x v="1"/>
    <s v="Østdanmark"/>
    <n v="55208.963281236145"/>
    <n v="0"/>
    <n v="0"/>
    <n v="0"/>
    <n v="0"/>
    <n v="0"/>
    <n v="55208.963281236145"/>
    <n v="0"/>
    <n v="0"/>
    <n v="0"/>
    <n v="55208.963281236145"/>
    <n v="0"/>
    <n v="1.8367233384191815"/>
    <n v="0"/>
    <n v="1.8367233384191815"/>
    <n v="0"/>
    <n v="0"/>
    <n v="0"/>
    <n v="0"/>
    <n v="0"/>
    <x v="1"/>
  </r>
  <r>
    <x v="34"/>
    <s v=""/>
    <n v="0"/>
    <x v="1"/>
    <s v="Østdanmark"/>
    <n v="244195.7605950883"/>
    <n v="0"/>
    <n v="0"/>
    <n v="0"/>
    <n v="0"/>
    <n v="0"/>
    <n v="0"/>
    <n v="0"/>
    <n v="244195.760595088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7553.12898229909"/>
    <n v="0"/>
    <n v="0"/>
    <n v="0"/>
    <n v="0"/>
    <n v="0"/>
    <n v="0"/>
    <n v="197553.1289822990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8776.564491149547"/>
    <n v="40122.455344582697"/>
    <n v="0"/>
    <n v="0"/>
    <n v="0"/>
    <n v="0"/>
    <n v="0"/>
    <n v="0"/>
    <n v="58654.10914656685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3217.001274335715"/>
    <n v="0"/>
    <n v="0"/>
    <n v="0"/>
    <n v="0"/>
    <n v="0"/>
    <n v="63217.001274335715"/>
    <n v="0"/>
    <n v="0"/>
    <n v="0"/>
    <n v="63217.001274335715"/>
    <n v="0"/>
    <n v="2.2125950446017497"/>
    <n v="0"/>
    <n v="2.2125950446017497"/>
    <n v="0"/>
    <n v="0"/>
    <n v="0"/>
    <n v="0"/>
    <n v="0"/>
    <x v="1"/>
  </r>
  <r>
    <x v="38"/>
    <s v="Græs og urter"/>
    <n v="1"/>
    <x v="1"/>
    <s v="Østdanmark"/>
    <n v="207966.66020436856"/>
    <n v="80504.889625609634"/>
    <n v="0"/>
    <n v="0"/>
    <n v="0"/>
    <n v="0"/>
    <n v="0"/>
    <n v="0"/>
    <n v="127461.77057875892"/>
    <n v="87842.254782762393"/>
    <n v="0"/>
    <n v="0.23840739317060844"/>
    <n v="0.23840739317060844"/>
    <n v="0"/>
    <n v="0.23840739317060844"/>
    <n v="17568.450956552479"/>
    <n v="17568.450956552479"/>
    <n v="0"/>
    <n v="17568.450956552479"/>
    <n v="0"/>
    <x v="0"/>
  </r>
  <r>
    <x v="39"/>
    <s v=""/>
    <n v="0"/>
    <x v="1"/>
    <s v="Østdanmark"/>
    <n v="14364.232197867042"/>
    <n v="0"/>
    <n v="0"/>
    <n v="0"/>
    <n v="0"/>
    <n v="0"/>
    <n v="0"/>
    <n v="0"/>
    <n v="14364.23219786704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1493.411931478344"/>
    <n v="3566.5638002400005"/>
    <n v="0"/>
    <n v="0"/>
    <n v="0"/>
    <n v="0"/>
    <n v="0"/>
    <n v="0"/>
    <n v="7926.8481312383428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1504.9573106756"/>
    <n v="0"/>
    <n v="0"/>
    <n v="0"/>
    <n v="2171978.2222519391"/>
    <n v="0"/>
    <n v="0"/>
    <n v="0"/>
    <n v="1169526.7350587365"/>
    <n v="1169526.7350587365"/>
    <n v="2171978.2222519391"/>
    <n v="0.58360553606166021"/>
    <n v="1.6674443887476005"/>
    <n v="1.0838388526859404"/>
    <n v="0.5836055360616601"/>
    <n v="70171.604103524194"/>
    <n v="200490.29743864053"/>
    <n v="130318.69333511635"/>
    <n v="70171.60410352418"/>
    <n v="0"/>
    <x v="0"/>
  </r>
  <r>
    <x v="42"/>
    <s v="Husdyrgødning"/>
    <n v="1"/>
    <x v="1"/>
    <s v="Østdanmark"/>
    <n v="1221968.9528231884"/>
    <n v="0"/>
    <n v="0"/>
    <n v="0"/>
    <n v="794279.81933507253"/>
    <n v="427689.13348811591"/>
    <n v="0"/>
    <n v="0"/>
    <n v="0"/>
    <n v="0"/>
    <n v="794279.81933507253"/>
    <n v="0"/>
    <n v="0.34217574616954932"/>
    <n v="0.34217574616954932"/>
    <n v="0"/>
    <n v="0"/>
    <n v="39713.990966753627"/>
    <n v="39713.990966753627"/>
    <n v="0"/>
    <n v="0"/>
    <x v="1"/>
  </r>
  <r>
    <x v="43"/>
    <s v=""/>
    <n v="0"/>
    <x v="1"/>
    <s v="Østdanmark"/>
    <n v="125224.44549527422"/>
    <n v="0"/>
    <n v="0"/>
    <n v="84421.151879638346"/>
    <n v="0"/>
    <n v="0"/>
    <n v="0"/>
    <n v="0"/>
    <n v="40803.29361563587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n v="0"/>
    <x v="1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014.619015001228"/>
    <n v="0"/>
    <n v="0"/>
    <n v="29532.002020101954"/>
    <n v="0"/>
    <n v="0"/>
    <n v="0"/>
    <n v="0"/>
    <n v="-15517.3830051007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184820.54051860346"/>
    <n v="0"/>
    <n v="0"/>
    <n v="98440.006733673188"/>
    <n v="0"/>
    <n v="0"/>
    <n v="0"/>
    <n v="0"/>
    <n v="86380.5337849302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83136.50029390544"/>
    <n v="0"/>
    <n v="0"/>
    <n v="0"/>
    <n v="172292.76645701905"/>
    <n v="0"/>
    <n v="10843.733836886386"/>
    <n v="0"/>
    <n v="0"/>
    <n v="0"/>
    <n v="183136.50029390544"/>
    <n v="0"/>
    <n v="0.78057067669367108"/>
    <n v="0.58698594897008294"/>
    <n v="0.19358472772358815"/>
    <n v="0"/>
    <n v="51278.220082293527"/>
    <n v="48241.974607965341"/>
    <n v="3036.2454743281851"/>
    <n v="0"/>
    <x v="1"/>
  </r>
  <r>
    <x v="3"/>
    <s v=""/>
    <n v="1"/>
    <x v="2"/>
    <s v="Østdanmark"/>
    <n v="136916209.63217843"/>
    <n v="0"/>
    <n v="0"/>
    <n v="0"/>
    <n v="0"/>
    <n v="0"/>
    <n v="136916209.63217843"/>
    <n v="0"/>
    <n v="0"/>
    <n v="0"/>
    <n v="136916209.63217843"/>
    <n v="0"/>
    <n v="0"/>
    <n v="0"/>
    <n v="0"/>
    <n v="0"/>
    <n v="0"/>
    <n v="0"/>
    <n v="0"/>
    <n v="0"/>
    <x v="1"/>
  </r>
  <r>
    <x v="4"/>
    <s v=""/>
    <n v="0"/>
    <x v="2"/>
    <s v="Østdanmark"/>
    <n v="4771810.3476653025"/>
    <n v="0"/>
    <n v="0"/>
    <n v="0"/>
    <n v="0"/>
    <n v="2772967.1013813135"/>
    <n v="0"/>
    <n v="0"/>
    <n v="1998843.246283988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82256.22298351699"/>
    <n v="0"/>
    <n v="0"/>
    <n v="0"/>
    <n v="164030.60068516529"/>
    <n v="0"/>
    <n v="0"/>
    <n v="0"/>
    <n v="18225.622298351693"/>
    <n v="18225.622298351693"/>
    <n v="164030.60068516529"/>
    <n v="1.0352628733908114E-2"/>
    <n v="0.10352628733908117"/>
    <n v="9.3173658605173057E-2"/>
    <n v="1.0352628733908117E-2"/>
    <n v="779.38934983874969"/>
    <n v="7793.8934983874997"/>
    <n v="7014.50414854875"/>
    <n v="779.38934983874969"/>
    <n v="0"/>
    <x v="0"/>
  </r>
  <r>
    <x v="6"/>
    <s v="Husdyrgødning"/>
    <n v="1"/>
    <x v="2"/>
    <s v="Østdanmark"/>
    <n v="288933.0377631922"/>
    <n v="0"/>
    <n v="0"/>
    <n v="0"/>
    <n v="260039.73398687298"/>
    <n v="10938.179286749417"/>
    <n v="0"/>
    <n v="0"/>
    <n v="17955.124489569804"/>
    <n v="17955.124489569804"/>
    <n v="260039.73398687298"/>
    <n v="3.867533815053336E-2"/>
    <n v="0.59880092515825778"/>
    <n v="0.56012558700772441"/>
    <n v="3.8675338150533367E-2"/>
    <n v="5386.5373468709413"/>
    <n v="83398.457542932825"/>
    <n v="78011.920196061896"/>
    <n v="5386.5373468709295"/>
    <n v="0"/>
    <x v="0"/>
  </r>
  <r>
    <x v="7"/>
    <s v=""/>
    <n v="0"/>
    <x v="2"/>
    <s v="Østdanmark"/>
    <n v="128370.01056167646"/>
    <n v="128507.27970135745"/>
    <n v="0"/>
    <n v="0"/>
    <n v="0"/>
    <n v="0"/>
    <n v="0"/>
    <n v="0"/>
    <n v="-137.2691396809823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892.67287590137244"/>
    <n v="0"/>
    <n v="0"/>
    <n v="0"/>
    <n v="803.40558831123519"/>
    <n v="89.267287590137229"/>
    <n v="0"/>
    <n v="0"/>
    <n v="0"/>
    <n v="0"/>
    <n v="803.40558831123519"/>
    <n v="0"/>
    <n v="3.7783361412689083E-4"/>
    <n v="3.7783361412689083E-4"/>
    <n v="0"/>
    <n v="0"/>
    <n v="50.614552063607817"/>
    <n v="50.614552063607817"/>
    <n v="0"/>
    <n v="0"/>
    <x v="1"/>
  </r>
  <r>
    <x v="9"/>
    <s v=""/>
    <n v="0"/>
    <x v="2"/>
    <s v="Østdanmark"/>
    <n v="9620.9199896373884"/>
    <n v="0"/>
    <n v="0"/>
    <n v="15996.501094221892"/>
    <n v="0"/>
    <n v="0"/>
    <n v="0"/>
    <n v="0"/>
    <n v="-6375.581104584503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44576.33466221322"/>
    <n v="0"/>
    <n v="0"/>
    <n v="0"/>
    <n v="0"/>
    <n v="0"/>
    <n v="0"/>
    <n v="0"/>
    <n v="244576.3346622132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35974.29143745116"/>
    <n v="0"/>
    <n v="0"/>
    <n v="233795.01599247381"/>
    <n v="0"/>
    <n v="0"/>
    <n v="0"/>
    <n v="0"/>
    <n v="-197820.72455502267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815303.0196031071"/>
    <n v="771991.75994211878"/>
    <n v="0"/>
    <n v="0"/>
    <n v="0"/>
    <n v="0"/>
    <n v="0"/>
    <n v="372977.38153229345"/>
    <n v="1670333.8781286948"/>
    <n v="62104.977447957266"/>
    <n v="0"/>
    <n v="0.11426539538206038"/>
    <n v="0.11426539538206038"/>
    <n v="0"/>
    <n v="0.11426539538206038"/>
    <n v="17389.393685428036"/>
    <n v="17389.393685428036"/>
    <n v="0"/>
    <n v="17389.393685428036"/>
    <n v="0"/>
    <x v="0"/>
  </r>
  <r>
    <x v="14"/>
    <s v=""/>
    <n v="0"/>
    <x v="2"/>
    <s v="Østdanmark"/>
    <n v="62351.14798709999"/>
    <n v="62351.1479870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388219.23407538212"/>
    <n v="0"/>
    <n v="0"/>
    <n v="244869.51675001203"/>
    <n v="0"/>
    <n v="0"/>
    <n v="0"/>
    <n v="0"/>
    <n v="143349.7173253700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948113.41210557171"/>
    <n v="0"/>
    <n v="49764.085742999996"/>
    <n v="0"/>
    <n v="0"/>
    <n v="0"/>
    <n v="190717.92520308075"/>
    <n v="707631.40115949092"/>
    <n v="0"/>
    <n v="0"/>
    <n v="190717.92520308075"/>
    <n v="0"/>
    <n v="1.9712235403005558"/>
    <n v="0"/>
    <n v="1.9712235403005558"/>
    <n v="0"/>
    <n v="162110.23642261865"/>
    <n v="0"/>
    <n v="162110.23642261865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3784.44874310441"/>
    <n v="0"/>
    <n v="0"/>
    <n v="0"/>
    <n v="172421.96543868803"/>
    <n v="0"/>
    <n v="0"/>
    <n v="0"/>
    <n v="11362.483304416382"/>
    <n v="11362.483304416382"/>
    <n v="172421.96543868803"/>
    <n v="4.9235117280865763E-2"/>
    <n v="0.68429288971700675"/>
    <n v="0.63505777243614103"/>
    <n v="4.9235117280865714E-2"/>
    <n v="4772.2429878548801"/>
    <n v="77189.46847210385"/>
    <n v="72417.225484248964"/>
    <n v="4772.2429878548865"/>
    <n v="0"/>
    <x v="0"/>
  </r>
  <r>
    <x v="20"/>
    <s v=""/>
    <n v="0"/>
    <x v="2"/>
    <s v="Østdanmark"/>
    <n v="160738.91424393514"/>
    <n v="0"/>
    <n v="0"/>
    <n v="0"/>
    <n v="0"/>
    <n v="0"/>
    <n v="0"/>
    <n v="0"/>
    <n v="160738.9142439351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9879.99665096425"/>
    <n v="0"/>
    <n v="0"/>
    <n v="111975.50765955324"/>
    <n v="0"/>
    <n v="0"/>
    <n v="0"/>
    <n v="0"/>
    <n v="427904.48899141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63803.7512143303"/>
    <n v="368193.19308724854"/>
    <n v="0"/>
    <n v="268249.01834925939"/>
    <n v="0"/>
    <n v="0"/>
    <n v="0"/>
    <n v="0"/>
    <n v="627361.53977782233"/>
    <n v="627361.53977782233"/>
    <n v="0"/>
    <n v="2.148625443123473"/>
    <n v="2.148625443123473"/>
    <n v="0"/>
    <n v="2.148625443123473"/>
    <n v="194482.07733112492"/>
    <n v="194482.07733112492"/>
    <n v="0"/>
    <n v="194482.07733112492"/>
    <n v="0"/>
    <x v="0"/>
  </r>
  <r>
    <x v="23"/>
    <s v=""/>
    <n v="0"/>
    <x v="2"/>
    <s v="Østdanmark"/>
    <n v="0"/>
    <n v="0"/>
    <n v="0"/>
    <n v="0"/>
    <n v="0"/>
    <n v="428883.93622894585"/>
    <n v="0"/>
    <n v="0"/>
    <n v="-428883.936228945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389113.08134287433"/>
    <n v="0"/>
    <n v="0"/>
    <n v="0"/>
    <n v="350201.77320858691"/>
    <n v="38911.308134287421"/>
    <n v="0"/>
    <n v="0"/>
    <n v="0"/>
    <n v="0"/>
    <n v="350201.77320858691"/>
    <n v="0"/>
    <n v="0.17726863558045464"/>
    <n v="0.17726863558045464"/>
    <n v="0"/>
    <n v="0"/>
    <n v="26615.334763852603"/>
    <n v="26615.334763852603"/>
    <n v="0"/>
    <n v="0"/>
    <x v="1"/>
  </r>
  <r>
    <x v="25"/>
    <s v=""/>
    <n v="0"/>
    <x v="2"/>
    <s v="Østdanmark"/>
    <n v="48832.551981699173"/>
    <n v="94582.81637840427"/>
    <n v="0"/>
    <n v="0"/>
    <n v="0"/>
    <n v="0"/>
    <n v="0"/>
    <n v="0"/>
    <n v="-45750.264396705097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879333.41051066038"/>
    <n v="356442.16067445499"/>
    <n v="0"/>
    <n v="0"/>
    <n v="0"/>
    <n v="0"/>
    <n v="0"/>
    <n v="0"/>
    <n v="522891.24983620539"/>
    <n v="30250.2127053187"/>
    <n v="0"/>
    <n v="0.10859826361209414"/>
    <n v="0.10859826361209414"/>
    <n v="0"/>
    <n v="0.10859826361209414"/>
    <n v="9075.0638115956099"/>
    <n v="9075.0638115956099"/>
    <n v="0"/>
    <n v="9075.0638115956099"/>
    <n v="0"/>
    <x v="0"/>
  </r>
  <r>
    <x v="27"/>
    <s v=""/>
    <n v="0"/>
    <x v="2"/>
    <s v="Østdanmark"/>
    <n v="94221.48175062571"/>
    <n v="0"/>
    <n v="0"/>
    <n v="428214.02929147833"/>
    <n v="0"/>
    <n v="0"/>
    <n v="0"/>
    <n v="0"/>
    <n v="-333992.54754085263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  <n v="0"/>
    <x v="0"/>
  </r>
  <r>
    <x v="29"/>
    <s v=""/>
    <n v="0"/>
    <x v="2"/>
    <s v="Østdanmark"/>
    <n v="2788.1222579681466"/>
    <n v="0"/>
    <n v="0"/>
    <n v="27206.356861018925"/>
    <n v="0"/>
    <n v="0"/>
    <n v="0"/>
    <n v="0"/>
    <n v="-24418.23460305078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53112.97272373439"/>
    <n v="0"/>
    <n v="0"/>
    <n v="0"/>
    <n v="0"/>
    <n v="0"/>
    <n v="0"/>
    <n v="0"/>
    <n v="353112.97272373439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0151.8698273154"/>
    <n v="0"/>
    <n v="0"/>
    <n v="0"/>
    <n v="0"/>
    <n v="0"/>
    <n v="30151.8698273154"/>
    <n v="0"/>
    <n v="0"/>
    <n v="0"/>
    <n v="30151.8698273154"/>
    <n v="0"/>
    <n v="0.55479440482260323"/>
    <n v="0"/>
    <n v="0.55479440482260323"/>
    <n v="0"/>
    <n v="12513.025978335892"/>
    <n v="0"/>
    <n v="12513.025978335892"/>
    <n v="0"/>
    <x v="1"/>
  </r>
  <r>
    <x v="32"/>
    <s v="Pyrolyseprodukter"/>
    <n v="1"/>
    <x v="2"/>
    <s v="Østdanmark"/>
    <n v="396273.58464931493"/>
    <n v="0"/>
    <n v="0"/>
    <n v="0"/>
    <n v="0"/>
    <n v="0"/>
    <n v="396273.58464931493"/>
    <n v="0"/>
    <n v="0"/>
    <n v="0"/>
    <n v="396273.58464931493"/>
    <n v="0"/>
    <n v="3.5511774235787885"/>
    <n v="0"/>
    <n v="3.5511774235787885"/>
    <n v="0"/>
    <n v="0"/>
    <n v="0"/>
    <n v="0"/>
    <n v="0"/>
    <x v="1"/>
  </r>
  <r>
    <x v="33"/>
    <s v="Pyrolyseprodukter"/>
    <n v="1"/>
    <x v="2"/>
    <s v="Østdanmark"/>
    <n v="99068.396162328732"/>
    <n v="0"/>
    <n v="0"/>
    <n v="0"/>
    <n v="0"/>
    <n v="0"/>
    <n v="99068.396162328732"/>
    <n v="0"/>
    <n v="0"/>
    <n v="0"/>
    <n v="99068.396162328732"/>
    <n v="0"/>
    <n v="3.2958640140404443"/>
    <n v="0"/>
    <n v="3.2958640140404443"/>
    <n v="0"/>
    <n v="0"/>
    <n v="0"/>
    <n v="0"/>
    <n v="0"/>
    <x v="1"/>
  </r>
  <r>
    <x v="34"/>
    <s v=""/>
    <n v="0"/>
    <x v="2"/>
    <s v="Østdanmark"/>
    <n v="146722.08587930756"/>
    <n v="0"/>
    <n v="0"/>
    <n v="0"/>
    <n v="0"/>
    <n v="0"/>
    <n v="0"/>
    <n v="0"/>
    <n v="146722.0858793075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89586.12196995915"/>
    <n v="0"/>
    <n v="0"/>
    <n v="0"/>
    <n v="0"/>
    <n v="0"/>
    <n v="0"/>
    <n v="189586.1219699591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4793.060984979573"/>
    <n v="38608.730223956329"/>
    <n v="0"/>
    <n v="0"/>
    <n v="0"/>
    <n v="0"/>
    <n v="0"/>
    <n v="0"/>
    <n v="56184.33076102324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0667.559030386925"/>
    <n v="0"/>
    <n v="0"/>
    <n v="0"/>
    <n v="0"/>
    <n v="0"/>
    <n v="60667.559030386925"/>
    <n v="0"/>
    <n v="0"/>
    <n v="0"/>
    <n v="60667.559030386925"/>
    <n v="0"/>
    <n v="2.1233645660635423"/>
    <n v="0"/>
    <n v="2.1233645660635423"/>
    <n v="0"/>
    <n v="0"/>
    <n v="0"/>
    <n v="0"/>
    <n v="0"/>
    <x v="1"/>
  </r>
  <r>
    <x v="38"/>
    <s v="Græs og urter"/>
    <n v="1"/>
    <x v="2"/>
    <s v="Østdanmark"/>
    <n v="172146.61258475881"/>
    <n v="54392.16644359615"/>
    <n v="0"/>
    <n v="0"/>
    <n v="0"/>
    <n v="0"/>
    <n v="0"/>
    <n v="0"/>
    <n v="117754.44614116265"/>
    <n v="117754.44614116265"/>
    <n v="0"/>
    <n v="0.31959027700496112"/>
    <n v="0.31959027700496112"/>
    <n v="0"/>
    <n v="0.31959027700496112"/>
    <n v="23550.889228232532"/>
    <n v="23550.889228232532"/>
    <n v="0"/>
    <n v="23550.889228232532"/>
    <n v="0"/>
    <x v="0"/>
  </r>
  <r>
    <x v="39"/>
    <s v=""/>
    <n v="0"/>
    <x v="2"/>
    <s v="Østdanmark"/>
    <n v="7974.0452731213709"/>
    <n v="0"/>
    <n v="0"/>
    <n v="0"/>
    <n v="0"/>
    <n v="0"/>
    <n v="0"/>
    <n v="0"/>
    <n v="7974.045273121370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6400.6434427366366"/>
    <n v="2409.7062023999997"/>
    <n v="0"/>
    <n v="0"/>
    <n v="0"/>
    <n v="0"/>
    <n v="0"/>
    <n v="0"/>
    <n v="3990.937240336636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5456.2673949548"/>
    <n v="0"/>
    <n v="0"/>
    <n v="0"/>
    <n v="3145910.6406554594"/>
    <n v="0"/>
    <n v="0"/>
    <n v="0"/>
    <n v="349545.62673949543"/>
    <n v="349545.62673949543"/>
    <n v="3145910.6406554594"/>
    <n v="0.17442676319927564"/>
    <n v="1.7442676319927566"/>
    <n v="1.5698408687934811"/>
    <n v="0.17442676319927553"/>
    <n v="20972.737604369726"/>
    <n v="209727.37604369727"/>
    <n v="188754.63843932757"/>
    <n v="20972.7376043697"/>
    <n v="0"/>
    <x v="0"/>
  </r>
  <r>
    <x v="42"/>
    <s v="Husdyrgødning"/>
    <n v="1"/>
    <x v="2"/>
    <s v="Østdanmark"/>
    <n v="581889.97753485164"/>
    <n v="0"/>
    <n v="0"/>
    <n v="0"/>
    <n v="523700.97978136648"/>
    <n v="58188.99775348515"/>
    <n v="0"/>
    <n v="0"/>
    <n v="0"/>
    <n v="0"/>
    <n v="523700.97978136648"/>
    <n v="0"/>
    <n v="0.22561038208981271"/>
    <n v="0.22561038208981271"/>
    <n v="0"/>
    <n v="0"/>
    <n v="26185.048989068324"/>
    <n v="26185.048989068324"/>
    <n v="0"/>
    <n v="0"/>
    <x v="1"/>
  </r>
  <r>
    <x v="43"/>
    <s v=""/>
    <n v="0"/>
    <x v="2"/>
    <s v="Østdanmark"/>
    <n v="69767.672570394658"/>
    <n v="0"/>
    <n v="0"/>
    <n v="55237.148778432362"/>
    <n v="0"/>
    <n v="0"/>
    <n v="0"/>
    <n v="0"/>
    <n v="14530.523791962296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375"/>
    <n v="0"/>
    <n v="0"/>
    <n v="0"/>
    <n v="0"/>
    <n v="0"/>
    <n v="0"/>
    <n v="0"/>
    <n v="3375"/>
    <n v="3375"/>
    <n v="0"/>
    <n v="3.0290625000000005E-3"/>
    <n v="3.0290625000000005E-3"/>
    <n v="0"/>
    <n v="3.0290625000000005E-3"/>
    <n v="506.25"/>
    <n v="506.25"/>
    <n v="0"/>
    <n v="506.2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453.92541579902"/>
    <n v="0"/>
    <n v="0"/>
    <n v="0"/>
    <n v="0"/>
    <n v="0"/>
    <n v="628453.92541579902"/>
    <n v="0"/>
    <n v="0"/>
    <n v="0"/>
    <n v="628453.92541579902"/>
    <n v="0"/>
    <n v="9.1085402689765971"/>
    <n v="0"/>
    <n v="9.1085402689765971"/>
    <n v="0"/>
    <n v="310822.83727856394"/>
    <n v="0"/>
    <n v="310822.83727856394"/>
    <n v="0"/>
    <x v="1"/>
  </r>
  <r>
    <x v="47"/>
    <s v=""/>
    <n v="0"/>
    <x v="2"/>
    <s v="Østdanmark"/>
    <n v="178611.5006135212"/>
    <n v="0"/>
    <n v="0"/>
    <n v="0"/>
    <n v="0"/>
    <n v="0"/>
    <n v="0"/>
    <n v="178611.500613521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94824.14109362793"/>
    <n v="0"/>
    <n v="0"/>
    <n v="32579.784552999867"/>
    <n v="0"/>
    <n v="0"/>
    <n v="0"/>
    <n v="0"/>
    <n v="162244.35654062807"/>
    <n v="0"/>
    <n v="0"/>
    <n v="0"/>
    <n v="0"/>
    <n v="0"/>
    <n v="0"/>
    <n v="0"/>
    <n v="0"/>
    <n v="0"/>
    <n v="0"/>
    <x v="0"/>
  </r>
  <r>
    <x v="1"/>
    <s v=""/>
    <n v="0"/>
    <x v="1"/>
    <s v="Vestdanmark"/>
    <n v="679900.90308057657"/>
    <n v="0"/>
    <n v="0"/>
    <n v="43439.71273733316"/>
    <n v="0"/>
    <n v="0"/>
    <n v="0"/>
    <n v="0"/>
    <n v="636461.19034324342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205702.08942290704"/>
    <n v="0"/>
    <n v="0"/>
    <n v="0"/>
    <n v="195082.24112879008"/>
    <n v="0"/>
    <n v="10619.848294116964"/>
    <n v="0"/>
    <n v="0"/>
    <n v="0"/>
    <n v="205702.08942290704"/>
    <n v="0"/>
    <n v="0.85421551176676402"/>
    <n v="0.66462763812408632"/>
    <n v="0.18958787364267771"/>
    <n v="0"/>
    <n v="57596.585038413978"/>
    <n v="54623.027516061229"/>
    <n v="2973.5575223527485"/>
    <x v="0"/>
  </r>
  <r>
    <x v="3"/>
    <s v=""/>
    <n v="1"/>
    <x v="1"/>
    <s v="Vestdanmark"/>
    <n v="428489926.3479389"/>
    <n v="0"/>
    <n v="0"/>
    <n v="0"/>
    <n v="0"/>
    <n v="0"/>
    <n v="428489926.3479389"/>
    <n v="0"/>
    <n v="0"/>
    <n v="0"/>
    <n v="428489926.3479389"/>
    <n v="0"/>
    <n v="0"/>
    <n v="0"/>
    <n v="0"/>
    <n v="0"/>
    <n v="0"/>
    <n v="0"/>
    <n v="0"/>
    <x v="0"/>
  </r>
  <r>
    <x v="4"/>
    <s v=""/>
    <n v="0"/>
    <x v="1"/>
    <s v="Vestdanmark"/>
    <n v="16166382.724156056"/>
    <n v="0"/>
    <n v="0"/>
    <n v="0"/>
    <n v="0"/>
    <n v="11764874.104094444"/>
    <n v="0"/>
    <n v="0"/>
    <n v="4401508.620061611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50219.4392265794"/>
    <n v="0"/>
    <n v="0"/>
    <n v="0"/>
    <n v="747642.63549727667"/>
    <n v="0"/>
    <n v="0"/>
    <n v="0"/>
    <n v="402576.80372930272"/>
    <n v="402576.80372930272"/>
    <n v="747642.63549727667"/>
    <n v="0.22867412248907362"/>
    <n v="0.65335463568306762"/>
    <n v="0.42468051319399397"/>
    <n v="0.22867412248907365"/>
    <n v="17215.547879927242"/>
    <n v="49187.279656934988"/>
    <n v="31971.731777007746"/>
    <n v="17215.547879927242"/>
    <x v="0"/>
  </r>
  <r>
    <x v="6"/>
    <s v="Husdyrgødning"/>
    <n v="1"/>
    <x v="1"/>
    <s v="Vestdanmark"/>
    <n v="2606461.4802133911"/>
    <n v="0"/>
    <n v="0"/>
    <n v="0"/>
    <n v="1694199.9621387043"/>
    <n v="345356.14612827433"/>
    <n v="0"/>
    <n v="0"/>
    <n v="566905.3719464126"/>
    <n v="566905.3719464126"/>
    <n v="1694199.9621387043"/>
    <n v="1.2211141711725728"/>
    <n v="4.8704208896193419"/>
    <n v="3.6493067184467689"/>
    <n v="1.221114171172573"/>
    <n v="170071.61158392378"/>
    <n v="678331.6002255351"/>
    <n v="508259.98864161124"/>
    <n v="170071.61158392386"/>
    <x v="0"/>
  </r>
  <r>
    <x v="7"/>
    <s v=""/>
    <n v="0"/>
    <x v="1"/>
    <s v="Vestdanmark"/>
    <n v="810143.42964363529"/>
    <n v="809601.73248444556"/>
    <n v="0"/>
    <n v="0"/>
    <n v="0"/>
    <n v="0"/>
    <n v="0"/>
    <n v="0"/>
    <n v="541.69715918973088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9271.9401550191069"/>
    <n v="0"/>
    <n v="0"/>
    <n v="0"/>
    <n v="6026.76110076242"/>
    <n v="3245.1790542566873"/>
    <n v="0"/>
    <n v="0"/>
    <n v="0"/>
    <n v="0"/>
    <n v="6026.76110076242"/>
    <n v="0"/>
    <n v="2.8343254780775584E-3"/>
    <n v="2.8343254780775584E-3"/>
    <n v="0"/>
    <n v="0"/>
    <n v="379.68594934803247"/>
    <n v="379.68594934803247"/>
    <n v="0"/>
    <x v="0"/>
  </r>
  <r>
    <x v="9"/>
    <s v=""/>
    <n v="0"/>
    <x v="1"/>
    <s v="Vestdanmark"/>
    <n v="154481.48271865805"/>
    <n v="0"/>
    <n v="0"/>
    <n v="28235.813279266553"/>
    <n v="0"/>
    <n v="0"/>
    <n v="0"/>
    <n v="0"/>
    <n v="126245.6694393914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6499.36509059242"/>
    <n v="0"/>
    <n v="0"/>
    <n v="0"/>
    <n v="0"/>
    <n v="0"/>
    <n v="0"/>
    <n v="0"/>
    <n v="926499.36509059242"/>
    <n v="0"/>
    <n v="0"/>
    <n v="0"/>
    <n v="0"/>
    <n v="0"/>
    <n v="0"/>
    <n v="0"/>
    <n v="0"/>
    <n v="0"/>
    <n v="0"/>
    <x v="0"/>
  </r>
  <r>
    <x v="11"/>
    <s v=""/>
    <n v="0"/>
    <x v="1"/>
    <s v="Vestdanmark"/>
    <n v="129276.58076711251"/>
    <n v="0"/>
    <n v="0"/>
    <n v="257923.29437791562"/>
    <n v="0"/>
    <n v="0"/>
    <n v="0"/>
    <n v="0"/>
    <n v="-128646.7136108031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033560.764952054"/>
    <n v="9338080.0380292125"/>
    <n v="0"/>
    <n v="0"/>
    <n v="0"/>
    <n v="0"/>
    <n v="0"/>
    <n v="2353861.1061256947"/>
    <n v="1341619.620797148"/>
    <n v="1341619.620797148"/>
    <n v="0"/>
    <n v="2.4684123998141527"/>
    <n v="2.4684123998141527"/>
    <n v="0"/>
    <n v="2.4684123998141527"/>
    <n v="375653.49382320145"/>
    <n v="375653.49382320145"/>
    <n v="0"/>
    <n v="375653.49382320145"/>
    <x v="0"/>
  </r>
  <r>
    <x v="14"/>
    <s v=""/>
    <n v="0"/>
    <x v="1"/>
    <s v="Vestdanmark"/>
    <n v="393498.23725547997"/>
    <n v="393498.2372554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389473.3777842107"/>
    <n v="0"/>
    <n v="0"/>
    <n v="270140.71358529059"/>
    <n v="0"/>
    <n v="0"/>
    <n v="0"/>
    <n v="0"/>
    <n v="1119332.6641989201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738776.3609784585"/>
    <n v="0"/>
    <n v="534046.98787814996"/>
    <n v="0"/>
    <n v="0"/>
    <n v="0"/>
    <n v="1119079.1108234245"/>
    <n v="1085650.2622768846"/>
    <n v="0"/>
    <n v="0"/>
    <n v="1119079.1108234245"/>
    <n v="0"/>
    <n v="11.566584967641599"/>
    <n v="0"/>
    <n v="11.566584967641599"/>
    <n v="0"/>
    <n v="951217.24419991078"/>
    <n v="0"/>
    <n v="951217.24419991078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1828597.931611574"/>
    <n v="0"/>
    <n v="0"/>
    <n v="0"/>
    <n v="0"/>
    <n v="0"/>
    <n v="0"/>
    <n v="-1828597.931611574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34537.51475409197"/>
    <n v="0"/>
    <n v="0"/>
    <n v="0"/>
    <n v="415611.46668729465"/>
    <n v="0"/>
    <n v="0"/>
    <n v="0"/>
    <n v="18926.048066797317"/>
    <n v="18926.048066797317"/>
    <n v="415611.46668729465"/>
    <n v="8.2009026659681461E-2"/>
    <n v="1.612772764109391"/>
    <n v="1.5307637374497096"/>
    <n v="8.200902665968135E-2"/>
    <n v="7948.940188054873"/>
    <n v="182505.75619671863"/>
    <n v="174556.81600866374"/>
    <n v="7948.9401880548976"/>
    <x v="0"/>
  </r>
  <r>
    <x v="20"/>
    <s v=""/>
    <n v="0"/>
    <x v="1"/>
    <s v="Vestdanmark"/>
    <n v="595525.47886913677"/>
    <n v="0"/>
    <n v="0"/>
    <n v="0"/>
    <n v="0"/>
    <n v="0"/>
    <n v="0"/>
    <n v="0"/>
    <n v="595525.47886913677"/>
    <n v="0"/>
    <n v="0"/>
    <n v="0"/>
    <n v="0"/>
    <n v="0"/>
    <n v="0"/>
    <n v="0"/>
    <n v="0"/>
    <n v="0"/>
    <n v="0"/>
    <x v="0"/>
  </r>
  <r>
    <x v="21"/>
    <s v=""/>
    <n v="0"/>
    <x v="1"/>
    <s v="Vestdanmark"/>
    <n v="1991290.2581626636"/>
    <n v="0"/>
    <n v="0"/>
    <n v="123531.68309679118"/>
    <n v="0"/>
    <n v="0"/>
    <n v="0"/>
    <n v="0"/>
    <n v="1867758.575065872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561269.4761999724"/>
    <n v="4453697.1570319049"/>
    <n v="0"/>
    <n v="295933.04302308214"/>
    <n v="0"/>
    <n v="0"/>
    <n v="0"/>
    <n v="0"/>
    <n v="-188360.7238550148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28477.143126321"/>
    <n v="0"/>
    <n v="0"/>
    <n v="-1228477.14312632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9142476.9191584084"/>
    <n v="0"/>
    <n v="0"/>
    <n v="0"/>
    <n v="5942609.9974529659"/>
    <n v="3199866.9217054429"/>
    <n v="0"/>
    <n v="0"/>
    <n v="0"/>
    <n v="0"/>
    <n v="5942609.9974529659"/>
    <n v="0"/>
    <n v="3.008089754610717"/>
    <n v="3.008089754610717"/>
    <n v="0"/>
    <n v="0"/>
    <n v="451638.3598064254"/>
    <n v="451638.3598064254"/>
    <n v="0"/>
    <x v="0"/>
  </r>
  <r>
    <x v="25"/>
    <s v=""/>
    <n v="0"/>
    <x v="1"/>
    <s v="Vestdanmark"/>
    <n v="1143513.3275141963"/>
    <n v="1144082.0425725533"/>
    <n v="0"/>
    <n v="0"/>
    <n v="0"/>
    <n v="0"/>
    <n v="0"/>
    <n v="0"/>
    <n v="-568.71505835698918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911198.5394176375"/>
    <n v="4311555.6383084813"/>
    <n v="0"/>
    <n v="0"/>
    <n v="0"/>
    <n v="0"/>
    <n v="0"/>
    <n v="0"/>
    <n v="-400357.0988908438"/>
    <n v="0"/>
    <n v="0"/>
    <n v="0"/>
    <n v="0"/>
    <n v="0"/>
    <n v="0"/>
    <n v="0"/>
    <n v="0"/>
    <n v="0"/>
    <n v="0"/>
    <x v="0"/>
  </r>
  <r>
    <x v="27"/>
    <s v=""/>
    <n v="0"/>
    <x v="1"/>
    <s v="Vestdanmark"/>
    <n v="2206387.2508722222"/>
    <n v="0"/>
    <n v="0"/>
    <n v="472406.87601849809"/>
    <n v="0"/>
    <n v="0"/>
    <n v="0"/>
    <n v="0"/>
    <n v="1733980.3748537241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  <x v="0"/>
  </r>
  <r>
    <x v="29"/>
    <s v=""/>
    <n v="0"/>
    <x v="1"/>
    <s v="Vestdanmark"/>
    <n v="71517.739783611425"/>
    <n v="0"/>
    <n v="0"/>
    <n v="48022.602431121806"/>
    <n v="0"/>
    <n v="0"/>
    <n v="0"/>
    <n v="0"/>
    <n v="23495.137352489619"/>
    <n v="0"/>
    <n v="0"/>
    <n v="0"/>
    <n v="0"/>
    <n v="0"/>
    <n v="0"/>
    <n v="0"/>
    <n v="0"/>
    <n v="0"/>
    <n v="0"/>
    <x v="1"/>
  </r>
  <r>
    <x v="30"/>
    <s v=""/>
    <n v="0"/>
    <x v="1"/>
    <s v="Vestdanmark"/>
    <n v="1306243.4433962547"/>
    <n v="0"/>
    <n v="0"/>
    <n v="0"/>
    <n v="0"/>
    <n v="0"/>
    <n v="0"/>
    <n v="0"/>
    <n v="1306243.443396254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4648.5815119847"/>
    <n v="0"/>
    <n v="0"/>
    <n v="0"/>
    <n v="0"/>
    <n v="0"/>
    <n v="124648.5815119847"/>
    <n v="0"/>
    <n v="0"/>
    <n v="0"/>
    <n v="124648.5815119847"/>
    <n v="0"/>
    <n v="2.2935338998205181"/>
    <n v="0"/>
    <n v="2.2935338998205181"/>
    <n v="0"/>
    <n v="51729.161327473652"/>
    <n v="0"/>
    <n v="51729.161327473652"/>
    <x v="0"/>
  </r>
  <r>
    <x v="32"/>
    <s v="Pyrolyseprodukter"/>
    <n v="1"/>
    <x v="1"/>
    <s v="Vestdanmark"/>
    <n v="607964.14687505551"/>
    <n v="0"/>
    <n v="0"/>
    <n v="0"/>
    <n v="0"/>
    <n v="0"/>
    <n v="607964.14687505551"/>
    <n v="0"/>
    <n v="0"/>
    <n v="0"/>
    <n v="607964.14687505551"/>
    <n v="0"/>
    <n v="5.448227276210317"/>
    <n v="0"/>
    <n v="5.448227276210317"/>
    <n v="0"/>
    <n v="0"/>
    <n v="0"/>
    <n v="0"/>
    <x v="0"/>
  </r>
  <r>
    <x v="33"/>
    <s v="Pyrolyseprodukter"/>
    <n v="1"/>
    <x v="1"/>
    <s v="Vestdanmark"/>
    <n v="151991.03671876388"/>
    <n v="0"/>
    <n v="0"/>
    <n v="0"/>
    <n v="0"/>
    <n v="0"/>
    <n v="151991.03671876388"/>
    <n v="0"/>
    <n v="0"/>
    <n v="0"/>
    <n v="151991.03671876388"/>
    <n v="0"/>
    <n v="5.0565246615808173"/>
    <n v="0"/>
    <n v="5.0565246615808173"/>
    <n v="0"/>
    <n v="0"/>
    <n v="0"/>
    <n v="0"/>
    <x v="0"/>
  </r>
  <r>
    <x v="34"/>
    <s v=""/>
    <n v="0"/>
    <x v="1"/>
    <s v="Vestdanmark"/>
    <n v="3435795.4650117112"/>
    <n v="0"/>
    <n v="0"/>
    <n v="0"/>
    <n v="0"/>
    <n v="0"/>
    <n v="0"/>
    <n v="0"/>
    <n v="3435795.4650117112"/>
    <n v="0"/>
    <n v="0"/>
    <n v="0"/>
    <n v="0"/>
    <n v="0"/>
    <n v="0"/>
    <n v="0"/>
    <n v="0"/>
    <n v="0"/>
    <n v="0"/>
    <x v="0"/>
  </r>
  <r>
    <x v="35"/>
    <s v=""/>
    <n v="0"/>
    <x v="1"/>
    <s v="Vestdanmark"/>
    <n v="611488.80572798639"/>
    <n v="0"/>
    <n v="0"/>
    <n v="0"/>
    <n v="0"/>
    <n v="0"/>
    <n v="0"/>
    <n v="611488.8057279863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05744.40286399319"/>
    <n v="327903.85901311738"/>
    <n v="0"/>
    <n v="0"/>
    <n v="0"/>
    <n v="0"/>
    <n v="0"/>
    <n v="0"/>
    <n v="-22159.45614912419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95676.41783295566"/>
    <n v="0"/>
    <n v="0"/>
    <n v="0"/>
    <n v="0"/>
    <n v="0"/>
    <n v="195676.41783295566"/>
    <n v="0"/>
    <n v="0"/>
    <n v="0"/>
    <n v="195676.41783295566"/>
    <n v="0"/>
    <n v="6.8486746241534471"/>
    <n v="0"/>
    <n v="6.8486746241534471"/>
    <n v="0"/>
    <n v="0"/>
    <n v="0"/>
    <n v="0"/>
    <x v="0"/>
  </r>
  <r>
    <x v="38"/>
    <s v="Græs og urter"/>
    <n v="1"/>
    <x v="1"/>
    <s v="Vestdanmark"/>
    <n v="618312.90012796305"/>
    <n v="657932.41592395958"/>
    <n v="0"/>
    <n v="0"/>
    <n v="0"/>
    <n v="0"/>
    <n v="0"/>
    <n v="0"/>
    <n v="-39619.515795996529"/>
    <n v="0"/>
    <n v="0"/>
    <n v="0"/>
    <n v="0"/>
    <n v="0"/>
    <n v="0"/>
    <n v="0"/>
    <n v="0"/>
    <n v="0"/>
    <n v="0"/>
    <x v="0"/>
  </r>
  <r>
    <x v="39"/>
    <s v=""/>
    <n v="0"/>
    <x v="1"/>
    <s v="Vestdanmark"/>
    <n v="123110.59014042643"/>
    <n v="0"/>
    <n v="0"/>
    <n v="0"/>
    <n v="0"/>
    <n v="0"/>
    <n v="0"/>
    <n v="0"/>
    <n v="123110.59014042643"/>
    <n v="0"/>
    <n v="0"/>
    <n v="0"/>
    <n v="0"/>
    <n v="0"/>
    <n v="0"/>
    <n v="0"/>
    <n v="0"/>
    <n v="0"/>
    <n v="0"/>
    <x v="0"/>
  </r>
  <r>
    <x v="40"/>
    <s v=""/>
    <n v="0"/>
    <x v="1"/>
    <s v="Vestdanmark"/>
    <n v="81653.889040476832"/>
    <n v="29148.017574479996"/>
    <n v="0"/>
    <n v="0"/>
    <n v="0"/>
    <n v="0"/>
    <n v="0"/>
    <n v="0"/>
    <n v="52505.871465996839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38045.0957457959"/>
    <n v="0"/>
    <n v="0"/>
    <n v="0"/>
    <n v="2559729.3122347672"/>
    <n v="0"/>
    <n v="0"/>
    <n v="0"/>
    <n v="1378315.7835110286"/>
    <n v="1378315.7835110286"/>
    <n v="2559729.3122347672"/>
    <n v="0.68779335912983852"/>
    <n v="1.9651238832281099"/>
    <n v="1.2773305240982713"/>
    <n v="0.68779335912983863"/>
    <n v="82698.947010661708"/>
    <n v="236282.70574474774"/>
    <n v="153583.75873408603"/>
    <n v="82698.947010661708"/>
    <x v="0"/>
  </r>
  <r>
    <x v="42"/>
    <s v="Husdyrgødning"/>
    <n v="1"/>
    <x v="1"/>
    <s v="Vestdanmark"/>
    <n v="8433355.9839573242"/>
    <n v="0"/>
    <n v="0"/>
    <n v="0"/>
    <n v="5481681.3895722609"/>
    <n v="2951674.5943850633"/>
    <n v="0"/>
    <n v="0"/>
    <n v="0"/>
    <n v="0"/>
    <n v="5481681.3895722609"/>
    <n v="0"/>
    <n v="2.3615083426277304"/>
    <n v="2.3615083426277304"/>
    <n v="0"/>
    <n v="0"/>
    <n v="274084.06947861303"/>
    <n v="274084.06947861303"/>
    <n v="0"/>
    <x v="0"/>
  </r>
  <r>
    <x v="43"/>
    <s v=""/>
    <n v="0"/>
    <x v="1"/>
    <s v="Vestdanmark"/>
    <n v="864230.08073603199"/>
    <n v="0"/>
    <n v="0"/>
    <n v="97500.435238944279"/>
    <n v="0"/>
    <n v="0"/>
    <n v="0"/>
    <n v="0"/>
    <n v="766729.64549708774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x v="0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980.58679378763"/>
    <n v="0"/>
    <n v="0"/>
    <n v="33849.968886444818"/>
    <n v="0"/>
    <n v="0"/>
    <n v="0"/>
    <n v="0"/>
    <n v="133130.61790734282"/>
    <n v="0"/>
    <n v="0"/>
    <n v="0"/>
    <n v="0"/>
    <n v="0"/>
    <n v="0"/>
    <n v="0"/>
    <n v="0"/>
    <n v="0"/>
    <n v="0"/>
    <x v="0"/>
  </r>
  <r>
    <x v="1"/>
    <s v=""/>
    <n v="0"/>
    <x v="2"/>
    <s v="Vestdanmark"/>
    <n v="512449.0981881597"/>
    <n v="0"/>
    <n v="0"/>
    <n v="112833.22962148272"/>
    <n v="0"/>
    <n v="0"/>
    <n v="0"/>
    <n v="0"/>
    <n v="399615.86856667697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209913.46379772766"/>
    <n v="0"/>
    <n v="0"/>
    <n v="0"/>
    <n v="197484.23354298095"/>
    <n v="0"/>
    <n v="12429.230254746712"/>
    <n v="0"/>
    <n v="0"/>
    <n v="0"/>
    <n v="209913.46379772766"/>
    <n v="0"/>
    <n v="0.89470036950988652"/>
    <n v="0.67281101009991739"/>
    <n v="0.22188935940996912"/>
    <n v="0"/>
    <n v="58775.769863363748"/>
    <n v="55295.585392034671"/>
    <n v="3480.1844713290775"/>
    <x v="0"/>
  </r>
  <r>
    <x v="3"/>
    <s v=""/>
    <n v="1"/>
    <x v="2"/>
    <s v="Vestdanmark"/>
    <n v="418368241.60967106"/>
    <n v="0"/>
    <n v="0"/>
    <n v="0"/>
    <n v="0"/>
    <n v="0"/>
    <n v="418368241.60967106"/>
    <n v="0"/>
    <n v="0"/>
    <n v="0"/>
    <n v="418368241.60967106"/>
    <n v="0"/>
    <n v="0"/>
    <n v="0"/>
    <n v="0"/>
    <n v="0"/>
    <n v="0"/>
    <n v="0"/>
    <n v="0"/>
    <x v="0"/>
  </r>
  <r>
    <x v="4"/>
    <s v=""/>
    <n v="0"/>
    <x v="2"/>
    <s v="Vestdanmark"/>
    <n v="15158237.369996985"/>
    <n v="0"/>
    <n v="0"/>
    <n v="0"/>
    <n v="0"/>
    <n v="8808668.0901926495"/>
    <n v="0"/>
    <n v="0"/>
    <n v="6349569.279804335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498559.3273214886"/>
    <n v="0"/>
    <n v="0"/>
    <n v="0"/>
    <n v="1348703.3945893398"/>
    <n v="0"/>
    <n v="0"/>
    <n v="0"/>
    <n v="149855.93273214879"/>
    <n v="149855.93273214879"/>
    <n v="1348703.3945893398"/>
    <n v="8.5122077575905453E-2"/>
    <n v="0.85122077575905486"/>
    <n v="0.76609869818314946"/>
    <n v="8.5122077575905397E-2"/>
    <n v="6408.3473293612469"/>
    <n v="64083.473293612493"/>
    <n v="57675.125964251252"/>
    <n v="6408.3473293612406"/>
    <x v="0"/>
  </r>
  <r>
    <x v="6"/>
    <s v="Husdyrgødning"/>
    <n v="1"/>
    <x v="2"/>
    <s v="Vestdanmark"/>
    <n v="2082202.1893277755"/>
    <n v="0"/>
    <n v="0"/>
    <n v="0"/>
    <n v="1873981.9703949981"/>
    <n v="78826.225738837195"/>
    <n v="0"/>
    <n v="0"/>
    <n v="129393.99319394026"/>
    <n v="129393.99319394026"/>
    <n v="1873981.9703949981"/>
    <n v="0.27871466133974732"/>
    <n v="4.3152718255705729"/>
    <n v="4.0365571642308256"/>
    <n v="0.27871466133974732"/>
    <n v="38818.197958182078"/>
    <n v="601012.78907668148"/>
    <n v="562194.5911184994"/>
    <n v="38818.197958182078"/>
    <x v="0"/>
  </r>
  <r>
    <x v="7"/>
    <s v=""/>
    <n v="0"/>
    <x v="2"/>
    <s v="Vestdanmark"/>
    <n v="1055492.501306559"/>
    <n v="1056621.1648235293"/>
    <n v="0"/>
    <n v="0"/>
    <n v="0"/>
    <n v="0"/>
    <n v="0"/>
    <n v="0"/>
    <n v="-1128.6635169703513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635.968089703798"/>
    <n v="0"/>
    <n v="0"/>
    <n v="0"/>
    <n v="9572.3712807334177"/>
    <n v="1063.5968089703795"/>
    <n v="0"/>
    <n v="0"/>
    <n v="0"/>
    <n v="0"/>
    <n v="9572.3712807334177"/>
    <n v="0"/>
    <n v="4.5017904896161188E-3"/>
    <n v="4.5017904896161188E-3"/>
    <n v="0"/>
    <n v="0"/>
    <n v="603.05939068620535"/>
    <n v="603.05939068620535"/>
    <n v="0"/>
    <x v="0"/>
  </r>
  <r>
    <x v="9"/>
    <s v=""/>
    <n v="0"/>
    <x v="2"/>
    <s v="Vestdanmark"/>
    <n v="114630.7911507355"/>
    <n v="0"/>
    <n v="0"/>
    <n v="18335.399813490942"/>
    <n v="0"/>
    <n v="0"/>
    <n v="0"/>
    <n v="0"/>
    <n v="96295.391337244568"/>
    <n v="0"/>
    <n v="0"/>
    <n v="0"/>
    <n v="0"/>
    <n v="0"/>
    <n v="0"/>
    <n v="0"/>
    <n v="0"/>
    <n v="0"/>
    <n v="0"/>
    <x v="0"/>
  </r>
  <r>
    <x v="10"/>
    <s v=""/>
    <n v="0"/>
    <x v="2"/>
    <s v="Vestdanmark"/>
    <n v="678133.0288987807"/>
    <n v="0"/>
    <n v="0"/>
    <n v="0"/>
    <n v="0"/>
    <n v="0"/>
    <n v="0"/>
    <n v="0"/>
    <n v="678133.0288987807"/>
    <n v="0"/>
    <n v="0"/>
    <n v="0"/>
    <n v="0"/>
    <n v="0"/>
    <n v="0"/>
    <n v="0"/>
    <n v="0"/>
    <n v="0"/>
    <n v="0"/>
    <x v="0"/>
  </r>
  <r>
    <x v="11"/>
    <s v=""/>
    <n v="0"/>
    <x v="2"/>
    <s v="Vestdanmark"/>
    <n v="99745.33232665222"/>
    <n v="0"/>
    <n v="0"/>
    <n v="267978.92035102146"/>
    <n v="0"/>
    <n v="0"/>
    <n v="0"/>
    <n v="0"/>
    <n v="-168233.58802436924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7806013.0843895487"/>
    <n v="6347522.3700933382"/>
    <n v="0"/>
    <n v="0"/>
    <n v="0"/>
    <n v="0"/>
    <n v="0"/>
    <n v="3066719.6149769477"/>
    <n v="-1608228.9006807376"/>
    <n v="0"/>
    <n v="0"/>
    <n v="0"/>
    <n v="0"/>
    <n v="0"/>
    <n v="0"/>
    <n v="0"/>
    <n v="0"/>
    <n v="0"/>
    <n v="0"/>
    <x v="0"/>
  </r>
  <r>
    <x v="14"/>
    <s v=""/>
    <n v="0"/>
    <x v="2"/>
    <s v="Vestdanmark"/>
    <n v="512667.7863489"/>
    <n v="512667.786348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076409.0953461644"/>
    <n v="0"/>
    <n v="0"/>
    <n v="280672.65868343826"/>
    <n v="0"/>
    <n v="0"/>
    <n v="0"/>
    <n v="0"/>
    <n v="795736.4366627261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628820.8537958581"/>
    <n v="0"/>
    <n v="353380.39040849992"/>
    <n v="0"/>
    <n v="0"/>
    <n v="0"/>
    <n v="483071.86454684939"/>
    <n v="1792368.5988405086"/>
    <n v="0"/>
    <n v="0"/>
    <n v="483071.86454684939"/>
    <n v="0"/>
    <n v="4.9929372398407832"/>
    <n v="0"/>
    <n v="4.9929372398407832"/>
    <n v="0"/>
    <n v="410611.08486482198"/>
    <n v="0"/>
    <n v="410611.08486482198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49165.19104178954"/>
    <n v="0"/>
    <n v="0"/>
    <n v="0"/>
    <n v="327578.03456131206"/>
    <n v="0"/>
    <n v="0"/>
    <n v="0"/>
    <n v="21587.156480477483"/>
    <n v="21587.156480477483"/>
    <n v="327578.03456131206"/>
    <n v="9.3539955360251406E-2"/>
    <n v="1.3000624329241111"/>
    <n v="1.2065224775638597"/>
    <n v="9.3539955360251392E-2"/>
    <n v="9066.6057218005426"/>
    <n v="146649.38023755161"/>
    <n v="137582.77451575105"/>
    <n v="9066.605721800559"/>
    <x v="0"/>
  </r>
  <r>
    <x v="20"/>
    <s v=""/>
    <n v="0"/>
    <x v="2"/>
    <s v="Vestdanmark"/>
    <n v="445678.82311442285"/>
    <n v="0"/>
    <n v="0"/>
    <n v="0"/>
    <n v="0"/>
    <n v="0"/>
    <n v="0"/>
    <n v="0"/>
    <n v="445678.82311442285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6919.3793012851"/>
    <n v="0"/>
    <n v="0"/>
    <n v="128347.79869443661"/>
    <n v="0"/>
    <n v="0"/>
    <n v="0"/>
    <n v="0"/>
    <n v="1368571.580606848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504131.9697836237"/>
    <n v="3027382.7402155623"/>
    <n v="0"/>
    <n v="307470.55071854044"/>
    <n v="0"/>
    <n v="0"/>
    <n v="0"/>
    <n v="0"/>
    <n v="169278.67884952109"/>
    <n v="169278.67884952109"/>
    <n v="0"/>
    <n v="0.57975577604457096"/>
    <n v="0.57975577604457096"/>
    <n v="0"/>
    <n v="0.57975577604457096"/>
    <n v="52476.390443351542"/>
    <n v="52476.390443351542"/>
    <n v="0"/>
    <n v="52476.390443351542"/>
    <x v="0"/>
  </r>
  <r>
    <x v="23"/>
    <s v=""/>
    <n v="0"/>
    <x v="2"/>
    <s v="Vestdanmark"/>
    <n v="0"/>
    <n v="0"/>
    <n v="0"/>
    <n v="0"/>
    <n v="0"/>
    <n v="1105939.1537963203"/>
    <n v="0"/>
    <n v="0"/>
    <n v="-1105939.153796320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5474759.0908073736"/>
    <n v="0"/>
    <n v="0"/>
    <n v="0"/>
    <n v="4927283.1817266364"/>
    <n v="547475.90908073727"/>
    <n v="0"/>
    <n v="0"/>
    <n v="0"/>
    <n v="0"/>
    <n v="4927283.1817266364"/>
    <n v="0"/>
    <n v="2.4941414737582064"/>
    <n v="2.4941414737582064"/>
    <n v="0"/>
    <n v="0"/>
    <n v="374473.52181122435"/>
    <n v="374473.52181122435"/>
    <n v="0"/>
    <x v="0"/>
  </r>
  <r>
    <x v="25"/>
    <s v=""/>
    <n v="0"/>
    <x v="2"/>
    <s v="Vestdanmark"/>
    <n v="687066.23012129939"/>
    <n v="777685.16963622137"/>
    <n v="0"/>
    <n v="0"/>
    <n v="0"/>
    <n v="0"/>
    <n v="0"/>
    <n v="0"/>
    <n v="-90618.93951492197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2438121.5770907253"/>
    <n v="2930762.614221612"/>
    <n v="0"/>
    <n v="0"/>
    <n v="0"/>
    <n v="0"/>
    <n v="0"/>
    <n v="0"/>
    <n v="-492641.03713088669"/>
    <n v="0"/>
    <n v="0"/>
    <n v="0"/>
    <n v="0"/>
    <n v="0"/>
    <n v="0"/>
    <n v="0"/>
    <n v="0"/>
    <n v="0"/>
    <n v="0"/>
    <x v="0"/>
  </r>
  <r>
    <x v="27"/>
    <s v=""/>
    <n v="0"/>
    <x v="2"/>
    <s v="Vestdanmark"/>
    <n v="1325681.2440829689"/>
    <n v="0"/>
    <n v="0"/>
    <n v="490824.54885344987"/>
    <n v="0"/>
    <n v="0"/>
    <n v="0"/>
    <n v="0"/>
    <n v="834856.6952295190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  <x v="0"/>
  </r>
  <r>
    <x v="29"/>
    <s v=""/>
    <n v="0"/>
    <x v="2"/>
    <s v="Vestdanmark"/>
    <n v="39228.436179566699"/>
    <n v="0"/>
    <n v="0"/>
    <n v="31184.283836637289"/>
    <n v="0"/>
    <n v="0"/>
    <n v="0"/>
    <n v="0"/>
    <n v="8044.1523429294102"/>
    <n v="0"/>
    <n v="0"/>
    <n v="0"/>
    <n v="0"/>
    <n v="0"/>
    <n v="0"/>
    <n v="0"/>
    <n v="0"/>
    <n v="0"/>
    <n v="0"/>
    <x v="1"/>
  </r>
  <r>
    <x v="30"/>
    <s v=""/>
    <n v="0"/>
    <x v="2"/>
    <s v="Vestdanmark"/>
    <n v="979071.82930248126"/>
    <n v="0"/>
    <n v="0"/>
    <n v="0"/>
    <n v="0"/>
    <n v="0"/>
    <n v="0"/>
    <n v="0"/>
    <n v="979071.8293024812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83602.19105177233"/>
    <n v="0"/>
    <n v="0"/>
    <n v="0"/>
    <n v="0"/>
    <n v="0"/>
    <n v="83602.19105177233"/>
    <n v="0"/>
    <n v="0"/>
    <n v="0"/>
    <n v="83602.19105177233"/>
    <n v="0"/>
    <n v="1.5382803153526106"/>
    <n v="0"/>
    <n v="1.5382803153526106"/>
    <n v="0"/>
    <n v="34694.909286485519"/>
    <n v="0"/>
    <n v="34694.909286485519"/>
    <x v="0"/>
  </r>
  <r>
    <x v="32"/>
    <s v="Pyrolyseprodukter"/>
    <n v="1"/>
    <x v="2"/>
    <s v="Vestdanmark"/>
    <n v="1003726.4153506849"/>
    <n v="0"/>
    <n v="0"/>
    <n v="0"/>
    <n v="0"/>
    <n v="0"/>
    <n v="1003726.4153506849"/>
    <n v="0"/>
    <n v="0"/>
    <n v="0"/>
    <n v="1003726.4153506849"/>
    <n v="0"/>
    <n v="8.9948225764212069"/>
    <n v="0"/>
    <n v="8.9948225764212069"/>
    <n v="0"/>
    <n v="0"/>
    <n v="0"/>
    <n v="0"/>
    <x v="0"/>
  </r>
  <r>
    <x v="33"/>
    <s v="Pyrolyseprodukter"/>
    <n v="1"/>
    <x v="2"/>
    <s v="Vestdanmark"/>
    <n v="250931.60383767122"/>
    <n v="0"/>
    <n v="0"/>
    <n v="0"/>
    <n v="0"/>
    <n v="0"/>
    <n v="250931.60383767122"/>
    <n v="0"/>
    <n v="0"/>
    <n v="0"/>
    <n v="250931.60383767122"/>
    <n v="0"/>
    <n v="8.3481359859595514"/>
    <n v="0"/>
    <n v="8.3481359859595514"/>
    <n v="0"/>
    <n v="0"/>
    <n v="0"/>
    <n v="0"/>
    <x v="0"/>
  </r>
  <r>
    <x v="34"/>
    <s v=""/>
    <n v="0"/>
    <x v="2"/>
    <s v="Vestdanmark"/>
    <n v="2064356.3837992495"/>
    <n v="0"/>
    <n v="0"/>
    <n v="0"/>
    <n v="0"/>
    <n v="0"/>
    <n v="0"/>
    <n v="0"/>
    <n v="2064356.3837992495"/>
    <n v="0"/>
    <n v="0"/>
    <n v="0"/>
    <n v="0"/>
    <n v="0"/>
    <n v="0"/>
    <n v="0"/>
    <n v="0"/>
    <n v="0"/>
    <n v="0"/>
    <x v="0"/>
  </r>
  <r>
    <x v="35"/>
    <s v=""/>
    <n v="0"/>
    <x v="2"/>
    <s v="Vestdanmark"/>
    <n v="525662.49270451744"/>
    <n v="0"/>
    <n v="0"/>
    <n v="0"/>
    <n v="0"/>
    <n v="0"/>
    <n v="0"/>
    <n v="525662.4927045174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831.24635225872"/>
    <n v="317451.28833478229"/>
    <n v="0"/>
    <n v="0"/>
    <n v="0"/>
    <n v="0"/>
    <n v="0"/>
    <n v="0"/>
    <n v="-54620.04198252357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211.99766544558"/>
    <n v="0"/>
    <n v="0"/>
    <n v="0"/>
    <n v="0"/>
    <n v="0"/>
    <n v="168211.99766544558"/>
    <n v="0"/>
    <n v="0"/>
    <n v="0"/>
    <n v="168211.99766544558"/>
    <n v="0"/>
    <n v="5.8874199182905951"/>
    <n v="0"/>
    <n v="5.8874199182905951"/>
    <n v="0"/>
    <n v="0"/>
    <n v="0"/>
    <n v="0"/>
    <x v="0"/>
  </r>
  <r>
    <x v="38"/>
    <s v="Græs og urter"/>
    <n v="1"/>
    <x v="2"/>
    <s v="Vestdanmark"/>
    <n v="477307.40969257313"/>
    <n v="447226.91507025005"/>
    <n v="0"/>
    <n v="0"/>
    <n v="0"/>
    <n v="0"/>
    <n v="0"/>
    <n v="0"/>
    <n v="30080.49462232308"/>
    <n v="30080.49462232308"/>
    <n v="0"/>
    <n v="8.1639665624769736E-2"/>
    <n v="8.1639665624769736E-2"/>
    <n v="0"/>
    <n v="8.1639665624769736E-2"/>
    <n v="6016.0989244646162"/>
    <n v="6016.0989244646162"/>
    <n v="0"/>
    <n v="6016.0989244646162"/>
    <x v="0"/>
  </r>
  <r>
    <x v="39"/>
    <s v=""/>
    <n v="0"/>
    <x v="2"/>
    <s v="Vestdanmark"/>
    <n v="68183.93816497142"/>
    <n v="0"/>
    <n v="0"/>
    <n v="0"/>
    <n v="0"/>
    <n v="0"/>
    <n v="0"/>
    <n v="0"/>
    <n v="68183.93816497142"/>
    <n v="0"/>
    <n v="0"/>
    <n v="0"/>
    <n v="0"/>
    <n v="0"/>
    <n v="0"/>
    <n v="0"/>
    <n v="0"/>
    <n v="0"/>
    <n v="0"/>
    <x v="0"/>
  </r>
  <r>
    <x v="40"/>
    <s v=""/>
    <n v="0"/>
    <x v="2"/>
    <s v="Vestdanmark"/>
    <n v="45453.227411200656"/>
    <n v="19813.247781600003"/>
    <n v="0"/>
    <n v="0"/>
    <n v="0"/>
    <n v="0"/>
    <n v="0"/>
    <n v="0"/>
    <n v="25639.97962960065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53942.458256661"/>
    <n v="0"/>
    <n v="0"/>
    <n v="0"/>
    <n v="3648548.212430995"/>
    <n v="0"/>
    <n v="0"/>
    <n v="0"/>
    <n v="405394.245825666"/>
    <n v="405394.245825666"/>
    <n v="3648548.212430995"/>
    <n v="0.20229578260946562"/>
    <n v="2.0229578260946566"/>
    <n v="1.820662043485191"/>
    <n v="0.20229578260946557"/>
    <n v="24323.654749539961"/>
    <n v="243236.54749539966"/>
    <n v="218912.89274585969"/>
    <n v="24323.654749539972"/>
    <x v="0"/>
  </r>
  <r>
    <x v="42"/>
    <s v="Husdyrgødning"/>
    <n v="1"/>
    <x v="2"/>
    <s v="Vestdanmark"/>
    <n v="4015883.8018844402"/>
    <n v="0"/>
    <n v="0"/>
    <n v="0"/>
    <n v="3614295.4216959961"/>
    <n v="401588.38018844387"/>
    <n v="0"/>
    <n v="0"/>
    <n v="0"/>
    <n v="0"/>
    <n v="3614295.4216959961"/>
    <n v="0"/>
    <n v="1.5570384676666353"/>
    <n v="1.5570384676666353"/>
    <n v="0"/>
    <n v="0"/>
    <n v="180714.77108479981"/>
    <n v="180714.77108479981"/>
    <n v="0"/>
    <x v="0"/>
  </r>
  <r>
    <x v="43"/>
    <s v=""/>
    <n v="0"/>
    <x v="2"/>
    <s v="Vestdanmark"/>
    <n v="481498.00991175236"/>
    <n v="0"/>
    <n v="0"/>
    <n v="63313.545971354491"/>
    <n v="0"/>
    <n v="0"/>
    <n v="0"/>
    <n v="0"/>
    <n v="418184.4639403978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0125"/>
    <n v="0"/>
    <n v="0"/>
    <n v="0"/>
    <n v="0"/>
    <n v="0"/>
    <n v="0"/>
    <n v="0"/>
    <n v="10125"/>
    <n v="10125"/>
    <n v="0"/>
    <n v="9.0871875000000015E-3"/>
    <n v="9.0871875000000015E-3"/>
    <n v="0"/>
    <n v="9.0871875000000015E-3"/>
    <n v="1518.75"/>
    <n v="1518.75"/>
    <n v="0"/>
    <n v="1518.7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341876.9484984945"/>
    <n v="0"/>
    <n v="0"/>
    <n v="0"/>
    <n v="0"/>
    <n v="0"/>
    <n v="2341876.9484984945"/>
    <n v="0"/>
    <n v="0"/>
    <n v="0"/>
    <n v="2341876.9484984945"/>
    <n v="0"/>
    <n v="33.942154910200387"/>
    <n v="0"/>
    <n v="33.942154910200387"/>
    <n v="0"/>
    <n v="1158253.3074448803"/>
    <n v="0"/>
    <n v="1158253.3074448803"/>
    <x v="0"/>
  </r>
  <r>
    <x v="47"/>
    <s v=""/>
    <n v="0"/>
    <x v="2"/>
    <s v="Vestdanmark"/>
    <n v="689715.35963233898"/>
    <n v="0"/>
    <n v="0"/>
    <n v="0"/>
    <n v="0"/>
    <n v="0"/>
    <n v="0"/>
    <n v="689715.3596323389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6351.5182499863"/>
    <n v="0"/>
    <n v="0"/>
    <n v="28209.340124628539"/>
    <n v="0"/>
    <n v="0"/>
    <n v="0"/>
    <n v="0"/>
    <n v="-11857.821874642239"/>
    <n v="0"/>
    <n v="0"/>
    <n v="0"/>
    <n v="0"/>
    <n v="0"/>
    <n v="0"/>
    <n v="0"/>
    <n v="0"/>
    <n v="0"/>
    <n v="0"/>
    <x v="0"/>
  </r>
  <r>
    <x v="1"/>
    <s v=""/>
    <n v="0"/>
    <x v="1"/>
    <s v="Østdanmark"/>
    <n v="219123.20850195418"/>
    <n v="0"/>
    <n v="0"/>
    <n v="37612.453499504722"/>
    <n v="0"/>
    <n v="0"/>
    <n v="0"/>
    <n v="0"/>
    <n v="181510.7550024494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78107.99808813466"/>
    <n v="0"/>
    <n v="0"/>
    <n v="0"/>
    <n v="168912.75887120995"/>
    <n v="0"/>
    <n v="9195.2392169247032"/>
    <n v="0"/>
    <n v="0"/>
    <n v="0"/>
    <n v="178107.99808813466"/>
    <n v="0"/>
    <n v="0.73962600556680191"/>
    <n v="0.57547056732591406"/>
    <n v="0.16415543824088785"/>
    <n v="0"/>
    <n v="49870.23946467771"/>
    <n v="47295.572483938791"/>
    <n v="2574.6669807389189"/>
    <x v="0"/>
  </r>
  <r>
    <x v="3"/>
    <s v=""/>
    <n v="1"/>
    <x v="1"/>
    <s v="Østdanmark"/>
    <n v="125691068.3984434"/>
    <n v="0"/>
    <n v="0"/>
    <n v="0"/>
    <n v="0"/>
    <n v="0"/>
    <n v="125691068.3984434"/>
    <n v="0"/>
    <n v="0"/>
    <n v="0"/>
    <n v="125691068.3984434"/>
    <n v="0"/>
    <n v="0"/>
    <n v="0"/>
    <n v="0"/>
    <n v="0"/>
    <n v="0"/>
    <n v="0"/>
    <n v="0"/>
    <x v="0"/>
  </r>
  <r>
    <x v="4"/>
    <s v=""/>
    <n v="0"/>
    <x v="1"/>
    <s v="Østdanmark"/>
    <n v="4106034.5064830724"/>
    <n v="0"/>
    <n v="0"/>
    <n v="0"/>
    <n v="0"/>
    <n v="2988113.0405047191"/>
    <n v="0"/>
    <n v="0"/>
    <n v="1117921.465978353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40741.33871353196"/>
    <n v="0"/>
    <n v="0"/>
    <n v="0"/>
    <n v="91481.870163795786"/>
    <n v="0"/>
    <n v="0"/>
    <n v="0"/>
    <n v="49259.468549736179"/>
    <n v="49259.468549736179"/>
    <n v="91481.870163795786"/>
    <n v="2.7980662672415994E-2"/>
    <n v="7.9944750492617137E-2"/>
    <n v="5.1964087820201142E-2"/>
    <n v="2.7980662672415994E-2"/>
    <n v="2106.50174451675"/>
    <n v="6018.5764129050012"/>
    <n v="3912.0746683882508"/>
    <n v="2106.5017445167505"/>
    <x v="0"/>
  </r>
  <r>
    <x v="6"/>
    <s v="Husdyrgødning"/>
    <n v="1"/>
    <x v="1"/>
    <s v="Østdanmark"/>
    <n v="358118.32667497953"/>
    <n v="0"/>
    <n v="0"/>
    <n v="0"/>
    <n v="232776.9123387367"/>
    <n v="47450.678284434784"/>
    <n v="0"/>
    <n v="0"/>
    <n v="77890.736051808053"/>
    <n v="77890.736051808053"/>
    <n v="232776.9123387367"/>
    <n v="0.16777664545559454"/>
    <n v="0.6691781146332334"/>
    <n v="0.50140146917763884"/>
    <n v="0.16777664545559456"/>
    <n v="23367.220815542416"/>
    <n v="93200.29451716342"/>
    <n v="69833.073701621004"/>
    <n v="23367.220815542416"/>
    <x v="0"/>
  </r>
  <r>
    <x v="7"/>
    <s v=""/>
    <n v="0"/>
    <x v="1"/>
    <s v="Østdanmark"/>
    <n v="99129.493859611786"/>
    <n v="99063.211565328063"/>
    <n v="0"/>
    <n v="0"/>
    <n v="0"/>
    <n v="0"/>
    <n v="0"/>
    <n v="0"/>
    <n v="66.28229428372287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78.19051482288"/>
    <n v="0"/>
    <n v="0"/>
    <n v="0"/>
    <n v="505.82383463487201"/>
    <n v="272.36668018800799"/>
    <n v="0"/>
    <n v="0"/>
    <n v="0"/>
    <n v="0"/>
    <n v="505.82383463487201"/>
    <n v="0"/>
    <n v="2.3788389119043396E-4"/>
    <n v="2.3788389119043396E-4"/>
    <n v="0"/>
    <n v="0"/>
    <n v="31.866901581996938"/>
    <n v="31.866901581996938"/>
    <n v="0"/>
    <x v="0"/>
  </r>
  <r>
    <x v="9"/>
    <s v=""/>
    <n v="0"/>
    <x v="1"/>
    <s v="Østdanmark"/>
    <n v="12965.573823549625"/>
    <n v="0"/>
    <n v="0"/>
    <n v="24448.094774678073"/>
    <n v="0"/>
    <n v="0"/>
    <n v="0"/>
    <n v="0"/>
    <n v="-11482.520951128448"/>
    <n v="0"/>
    <n v="0"/>
    <n v="0"/>
    <n v="0"/>
    <n v="0"/>
    <n v="0"/>
    <n v="0"/>
    <n v="0"/>
    <n v="0"/>
    <n v="0"/>
    <x v="0"/>
  </r>
  <r>
    <x v="10"/>
    <s v=""/>
    <n v="0"/>
    <x v="1"/>
    <s v="Østdanmark"/>
    <n v="300694.90203982888"/>
    <n v="0"/>
    <n v="0"/>
    <n v="0"/>
    <n v="0"/>
    <n v="0"/>
    <n v="0"/>
    <n v="0"/>
    <n v="300694.90203982888"/>
    <n v="0"/>
    <n v="0"/>
    <n v="0"/>
    <n v="0"/>
    <n v="0"/>
    <n v="0"/>
    <n v="0"/>
    <n v="0"/>
    <n v="0"/>
    <n v="0"/>
    <x v="0"/>
  </r>
  <r>
    <x v="11"/>
    <s v=""/>
    <n v="0"/>
    <x v="1"/>
    <s v="Østdanmark"/>
    <n v="42029.439455374028"/>
    <n v="0"/>
    <n v="0"/>
    <n v="223323.94265330929"/>
    <n v="0"/>
    <n v="0"/>
    <n v="0"/>
    <n v="0"/>
    <n v="-181294.5031979352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889048.5773336194"/>
    <n v="1142611.4363447551"/>
    <n v="0"/>
    <n v="0"/>
    <n v="0"/>
    <n v="0"/>
    <n v="0"/>
    <n v="288019.44387638377"/>
    <n v="2458417.6971124802"/>
    <n v="2458417.6971124802"/>
    <n v="0"/>
    <n v="4.5231812604748249"/>
    <n v="4.5231812604748249"/>
    <n v="0"/>
    <n v="4.5231812604748249"/>
    <n v="688356.95519149455"/>
    <n v="688356.95519149455"/>
    <n v="0"/>
    <n v="688356.95519149455"/>
    <x v="0"/>
  </r>
  <r>
    <x v="14"/>
    <s v=""/>
    <n v="0"/>
    <x v="1"/>
    <s v="Østdanmark"/>
    <n v="48148.61130324001"/>
    <n v="48148.61130324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52009.50532141351"/>
    <n v="0"/>
    <n v="0"/>
    <n v="233902.44520004498"/>
    <n v="0"/>
    <n v="0"/>
    <n v="0"/>
    <n v="0"/>
    <n v="218107.06012136853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876609.03680475557"/>
    <n v="0"/>
    <n v="75766.923793950002"/>
    <n v="0"/>
    <n v="0"/>
    <n v="0"/>
    <n v="406492.37528769014"/>
    <n v="394349.73772311531"/>
    <n v="0"/>
    <n v="0"/>
    <n v="406492.37528769014"/>
    <n v="0"/>
    <n v="4.2014264693082932"/>
    <n v="0"/>
    <n v="4.2014264693082932"/>
    <n v="0"/>
    <n v="345518.5189945366"/>
    <n v="0"/>
    <n v="345518.5189945366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223748.01893181339"/>
    <n v="0"/>
    <n v="0"/>
    <n v="0"/>
    <n v="0"/>
    <n v="0"/>
    <n v="0"/>
    <n v="-223748.0189318133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2785.18866068762"/>
    <n v="0"/>
    <n v="0"/>
    <n v="0"/>
    <n v="184388.53331270564"/>
    <n v="0"/>
    <n v="0"/>
    <n v="0"/>
    <n v="8396.655347981985"/>
    <n v="8396.655347981985"/>
    <n v="184388.53331270564"/>
    <n v="3.6383799188001185E-2"/>
    <n v="0.71551636173829269"/>
    <n v="0.67913256255029153"/>
    <n v="3.6383799188001165E-2"/>
    <n v="3526.5952461524334"/>
    <n v="80969.779237488794"/>
    <n v="77443.183991336366"/>
    <n v="3526.5952461524284"/>
    <x v="0"/>
  </r>
  <r>
    <x v="20"/>
    <s v=""/>
    <n v="0"/>
    <x v="1"/>
    <s v="Østdanmark"/>
    <n v="188679.01735181612"/>
    <n v="0"/>
    <n v="0"/>
    <n v="0"/>
    <n v="0"/>
    <n v="0"/>
    <n v="0"/>
    <n v="0"/>
    <n v="188679.01735181612"/>
    <n v="0"/>
    <n v="0"/>
    <n v="0"/>
    <n v="0"/>
    <n v="0"/>
    <n v="0"/>
    <n v="0"/>
    <n v="0"/>
    <n v="0"/>
    <n v="0"/>
    <x v="0"/>
  </r>
  <r>
    <x v="21"/>
    <s v=""/>
    <n v="0"/>
    <x v="1"/>
    <s v="Østdanmark"/>
    <n v="629409.67357184645"/>
    <n v="0"/>
    <n v="0"/>
    <n v="106960.41463921656"/>
    <n v="0"/>
    <n v="0"/>
    <n v="0"/>
    <n v="0"/>
    <n v="522449.2589326298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53462.7708228838"/>
    <n v="544956.27419303753"/>
    <n v="0"/>
    <n v="256234.83946537593"/>
    <n v="0"/>
    <n v="0"/>
    <n v="0"/>
    <n v="0"/>
    <n v="652271.65716447029"/>
    <n v="463910.9333094554"/>
    <n v="0"/>
    <n v="1.5888299990542216"/>
    <n v="1.5888299990542216"/>
    <n v="0"/>
    <n v="1.5888299990542216"/>
    <n v="143812.38932593117"/>
    <n v="143812.38932593117"/>
    <n v="0"/>
    <n v="143812.38932593117"/>
    <x v="0"/>
  </r>
  <r>
    <x v="23"/>
    <s v=""/>
    <n v="0"/>
    <x v="1"/>
    <s v="Østdanmark"/>
    <n v="0"/>
    <n v="0"/>
    <n v="0"/>
    <n v="0"/>
    <n v="0"/>
    <n v="491101.64058741054"/>
    <n v="0"/>
    <n v="0"/>
    <n v="-491101.6405874105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649792.49426575436"/>
    <n v="0"/>
    <n v="0"/>
    <n v="0"/>
    <n v="422365.12127274036"/>
    <n v="227427.37299301403"/>
    <n v="0"/>
    <n v="0"/>
    <n v="0"/>
    <n v="0"/>
    <n v="422365.12127274036"/>
    <n v="0"/>
    <n v="0.21379700073704846"/>
    <n v="0.21379700073704846"/>
    <n v="0"/>
    <n v="0"/>
    <n v="32099.749216728265"/>
    <n v="32099.749216728265"/>
    <n v="0"/>
    <x v="0"/>
  </r>
  <r>
    <x v="25"/>
    <s v=""/>
    <n v="0"/>
    <x v="1"/>
    <s v="Østdanmark"/>
    <n v="81274.077460835601"/>
    <n v="139990.36425435884"/>
    <n v="0"/>
    <n v="0"/>
    <n v="0"/>
    <n v="0"/>
    <n v="0"/>
    <n v="0"/>
    <n v="-58716.28679352323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200000.8780664324"/>
    <n v="527563.77764006588"/>
    <n v="0"/>
    <n v="0"/>
    <n v="0"/>
    <n v="0"/>
    <n v="0"/>
    <n v="0"/>
    <n v="672437.10042636655"/>
    <n v="272080.00153552275"/>
    <n v="0"/>
    <n v="0.97676720551252683"/>
    <n v="0.97676720551252683"/>
    <n v="0"/>
    <n v="0.97676720551252683"/>
    <n v="81624.000460656825"/>
    <n v="81624.000460656825"/>
    <n v="0"/>
    <n v="81624.000460656825"/>
    <x v="0"/>
  </r>
  <r>
    <x v="27"/>
    <s v=""/>
    <n v="0"/>
    <x v="1"/>
    <s v="Østdanmark"/>
    <n v="156816.78911937549"/>
    <n v="0"/>
    <n v="0"/>
    <n v="409035.43180711387"/>
    <n v="0"/>
    <n v="0"/>
    <n v="0"/>
    <n v="0"/>
    <n v="-252218.6426877383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  <x v="0"/>
  </r>
  <r>
    <x v="29"/>
    <s v=""/>
    <n v="0"/>
    <x v="1"/>
    <s v="Østdanmark"/>
    <n v="5083.0525391711781"/>
    <n v="0"/>
    <n v="0"/>
    <n v="41580.567343702467"/>
    <n v="0"/>
    <n v="0"/>
    <n v="0"/>
    <n v="0"/>
    <n v="-36497.514804531289"/>
    <n v="0"/>
    <n v="0"/>
    <n v="0"/>
    <n v="0"/>
    <n v="0"/>
    <n v="0"/>
    <n v="0"/>
    <n v="0"/>
    <n v="0"/>
    <n v="0"/>
    <x v="1"/>
  </r>
  <r>
    <x v="30"/>
    <s v=""/>
    <n v="0"/>
    <x v="1"/>
    <s v="Østdanmark"/>
    <n v="415381.70094496832"/>
    <n v="0"/>
    <n v="0"/>
    <n v="0"/>
    <n v="0"/>
    <n v="0"/>
    <n v="0"/>
    <n v="0"/>
    <n v="415381.70094496832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6846.931969416735"/>
    <n v="0"/>
    <n v="0"/>
    <n v="0"/>
    <n v="0"/>
    <n v="0"/>
    <n v="36846.931969416735"/>
    <n v="0"/>
    <n v="0"/>
    <n v="0"/>
    <n v="36846.931969416735"/>
    <n v="0"/>
    <n v="0.67798354823726781"/>
    <n v="0"/>
    <n v="0.67798354823726781"/>
    <n v="0"/>
    <n v="15291.476767307946"/>
    <n v="0"/>
    <n v="15291.476767307946"/>
    <x v="0"/>
  </r>
  <r>
    <x v="32"/>
    <s v="Pyrolyseprodukter"/>
    <n v="1"/>
    <x v="1"/>
    <s v="Østdanmark"/>
    <n v="220835.85312494458"/>
    <n v="0"/>
    <n v="0"/>
    <n v="0"/>
    <n v="0"/>
    <n v="0"/>
    <n v="220835.85312494458"/>
    <n v="0"/>
    <n v="0"/>
    <n v="0"/>
    <n v="220835.85312494458"/>
    <n v="0"/>
    <n v="1.9790047237896813"/>
    <n v="0"/>
    <n v="1.9790047237896813"/>
    <n v="0"/>
    <n v="0"/>
    <n v="0"/>
    <n v="0"/>
    <x v="0"/>
  </r>
  <r>
    <x v="33"/>
    <s v="Pyrolyseprodukter"/>
    <n v="1"/>
    <x v="1"/>
    <s v="Østdanmark"/>
    <n v="55208.963281236145"/>
    <n v="0"/>
    <n v="0"/>
    <n v="0"/>
    <n v="0"/>
    <n v="0"/>
    <n v="55208.963281236145"/>
    <n v="0"/>
    <n v="0"/>
    <n v="0"/>
    <n v="55208.963281236145"/>
    <n v="0"/>
    <n v="1.8367233384191815"/>
    <n v="0"/>
    <n v="1.8367233384191815"/>
    <n v="0"/>
    <n v="0"/>
    <n v="0"/>
    <n v="0"/>
    <x v="0"/>
  </r>
  <r>
    <x v="34"/>
    <s v=""/>
    <n v="0"/>
    <x v="1"/>
    <s v="Østdanmark"/>
    <n v="244195.7605950883"/>
    <n v="0"/>
    <n v="0"/>
    <n v="0"/>
    <n v="0"/>
    <n v="0"/>
    <n v="0"/>
    <n v="0"/>
    <n v="244195.7605950883"/>
    <n v="0"/>
    <n v="0"/>
    <n v="0"/>
    <n v="0"/>
    <n v="0"/>
    <n v="0"/>
    <n v="0"/>
    <n v="0"/>
    <n v="0"/>
    <n v="0"/>
    <x v="0"/>
  </r>
  <r>
    <x v="35"/>
    <s v=""/>
    <n v="0"/>
    <x v="1"/>
    <s v="Østdanmark"/>
    <n v="197553.12898229909"/>
    <n v="0"/>
    <n v="0"/>
    <n v="0"/>
    <n v="0"/>
    <n v="0"/>
    <n v="0"/>
    <n v="197553.12898229909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8776.564491149547"/>
    <n v="40122.455344582697"/>
    <n v="0"/>
    <n v="0"/>
    <n v="0"/>
    <n v="0"/>
    <n v="0"/>
    <n v="0"/>
    <n v="58654.10914656685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3217.001274335715"/>
    <n v="0"/>
    <n v="0"/>
    <n v="0"/>
    <n v="0"/>
    <n v="0"/>
    <n v="63217.001274335715"/>
    <n v="0"/>
    <n v="0"/>
    <n v="0"/>
    <n v="63217.001274335715"/>
    <n v="0"/>
    <n v="2.2125950446017497"/>
    <n v="0"/>
    <n v="2.2125950446017497"/>
    <n v="0"/>
    <n v="0"/>
    <n v="0"/>
    <n v="0"/>
    <x v="0"/>
  </r>
  <r>
    <x v="38"/>
    <s v="Græs og urter"/>
    <n v="1"/>
    <x v="1"/>
    <s v="Østdanmark"/>
    <n v="207966.66020436856"/>
    <n v="80504.889625609634"/>
    <n v="0"/>
    <n v="0"/>
    <n v="0"/>
    <n v="0"/>
    <n v="0"/>
    <n v="0"/>
    <n v="127461.77057875892"/>
    <n v="87842.254782762393"/>
    <n v="0"/>
    <n v="0.23840739317060844"/>
    <n v="0.23840739317060844"/>
    <n v="0"/>
    <n v="0.23840739317060844"/>
    <n v="17568.450956552479"/>
    <n v="17568.450956552479"/>
    <n v="0"/>
    <n v="17568.450956552479"/>
    <x v="0"/>
  </r>
  <r>
    <x v="39"/>
    <s v=""/>
    <n v="0"/>
    <x v="1"/>
    <s v="Østdanmark"/>
    <n v="14364.232197867042"/>
    <n v="0"/>
    <n v="0"/>
    <n v="0"/>
    <n v="0"/>
    <n v="0"/>
    <n v="0"/>
    <n v="0"/>
    <n v="14364.232197867042"/>
    <n v="0"/>
    <n v="0"/>
    <n v="0"/>
    <n v="0"/>
    <n v="0"/>
    <n v="0"/>
    <n v="0"/>
    <n v="0"/>
    <n v="0"/>
    <n v="0"/>
    <x v="0"/>
  </r>
  <r>
    <x v="40"/>
    <s v=""/>
    <n v="0"/>
    <x v="1"/>
    <s v="Østdanmark"/>
    <n v="11493.411931478344"/>
    <n v="3566.5638002400005"/>
    <n v="0"/>
    <n v="0"/>
    <n v="0"/>
    <n v="0"/>
    <n v="0"/>
    <n v="0"/>
    <n v="7926.8481312383428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1504.9573106756"/>
    <n v="0"/>
    <n v="0"/>
    <n v="0"/>
    <n v="2171978.2222519391"/>
    <n v="0"/>
    <n v="0"/>
    <n v="0"/>
    <n v="1169526.7350587365"/>
    <n v="1169526.7350587365"/>
    <n v="2171978.2222519391"/>
    <n v="0.58360553606166021"/>
    <n v="1.6674443887476005"/>
    <n v="1.0838388526859404"/>
    <n v="0.5836055360616601"/>
    <n v="70171.604103524194"/>
    <n v="200490.29743864053"/>
    <n v="130318.69333511635"/>
    <n v="70171.60410352418"/>
    <x v="0"/>
  </r>
  <r>
    <x v="42"/>
    <s v="Husdyrgødning"/>
    <n v="1"/>
    <x v="1"/>
    <s v="Østdanmark"/>
    <n v="1221968.9528231884"/>
    <n v="0"/>
    <n v="0"/>
    <n v="0"/>
    <n v="794279.81933507253"/>
    <n v="427689.13348811591"/>
    <n v="0"/>
    <n v="0"/>
    <n v="0"/>
    <n v="0"/>
    <n v="794279.81933507253"/>
    <n v="0"/>
    <n v="0.34217574616954932"/>
    <n v="0.34217574616954932"/>
    <n v="0"/>
    <n v="0"/>
    <n v="39713.990966753627"/>
    <n v="39713.990966753627"/>
    <n v="0"/>
    <x v="0"/>
  </r>
  <r>
    <x v="43"/>
    <s v=""/>
    <n v="0"/>
    <x v="1"/>
    <s v="Østdanmark"/>
    <n v="125224.44549527422"/>
    <n v="0"/>
    <n v="0"/>
    <n v="84421.151879638346"/>
    <n v="0"/>
    <n v="0"/>
    <n v="0"/>
    <n v="0"/>
    <n v="40803.29361563587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x v="0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014.619015001228"/>
    <n v="0"/>
    <n v="0"/>
    <n v="29532.002020101954"/>
    <n v="0"/>
    <n v="0"/>
    <n v="0"/>
    <n v="0"/>
    <n v="-15517.383005100726"/>
    <n v="0"/>
    <n v="0"/>
    <n v="0"/>
    <n v="0"/>
    <n v="0"/>
    <n v="0"/>
    <n v="0"/>
    <n v="0"/>
    <n v="0"/>
    <n v="0"/>
    <x v="0"/>
  </r>
  <r>
    <x v="1"/>
    <s v=""/>
    <n v="0"/>
    <x v="2"/>
    <s v="Østdanmark"/>
    <n v="184820.54051860346"/>
    <n v="0"/>
    <n v="0"/>
    <n v="98440.006733673188"/>
    <n v="0"/>
    <n v="0"/>
    <n v="0"/>
    <n v="0"/>
    <n v="86380.53378493027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83136.50029390544"/>
    <n v="0"/>
    <n v="0"/>
    <n v="0"/>
    <n v="172292.76645701905"/>
    <n v="0"/>
    <n v="10843.733836886386"/>
    <n v="0"/>
    <n v="0"/>
    <n v="0"/>
    <n v="183136.50029390544"/>
    <n v="0"/>
    <n v="0.78057067669367108"/>
    <n v="0.58698594897008294"/>
    <n v="0.19358472772358815"/>
    <n v="0"/>
    <n v="51278.220082293527"/>
    <n v="48241.974607965341"/>
    <n v="3036.2454743281851"/>
    <x v="0"/>
  </r>
  <r>
    <x v="3"/>
    <s v=""/>
    <n v="1"/>
    <x v="2"/>
    <s v="Østdanmark"/>
    <n v="136916209.63217843"/>
    <n v="0"/>
    <n v="0"/>
    <n v="0"/>
    <n v="0"/>
    <n v="0"/>
    <n v="136916209.63217843"/>
    <n v="0"/>
    <n v="0"/>
    <n v="0"/>
    <n v="136916209.63217843"/>
    <n v="0"/>
    <n v="0"/>
    <n v="0"/>
    <n v="0"/>
    <n v="0"/>
    <n v="0"/>
    <n v="0"/>
    <n v="0"/>
    <x v="0"/>
  </r>
  <r>
    <x v="4"/>
    <s v=""/>
    <n v="0"/>
    <x v="2"/>
    <s v="Østdanmark"/>
    <n v="4771810.3476653025"/>
    <n v="0"/>
    <n v="0"/>
    <n v="0"/>
    <n v="0"/>
    <n v="2772967.1013813135"/>
    <n v="0"/>
    <n v="0"/>
    <n v="1998843.2462839889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82256.22298351699"/>
    <n v="0"/>
    <n v="0"/>
    <n v="0"/>
    <n v="164030.60068516529"/>
    <n v="0"/>
    <n v="0"/>
    <n v="0"/>
    <n v="18225.622298351693"/>
    <n v="18225.622298351693"/>
    <n v="164030.60068516529"/>
    <n v="1.0352628733908114E-2"/>
    <n v="0.10352628733908117"/>
    <n v="9.3173658605173057E-2"/>
    <n v="1.0352628733908117E-2"/>
    <n v="779.38934983874969"/>
    <n v="7793.8934983874997"/>
    <n v="7014.50414854875"/>
    <n v="779.38934983874969"/>
    <x v="0"/>
  </r>
  <r>
    <x v="6"/>
    <s v="Husdyrgødning"/>
    <n v="1"/>
    <x v="2"/>
    <s v="Østdanmark"/>
    <n v="288933.0377631922"/>
    <n v="0"/>
    <n v="0"/>
    <n v="0"/>
    <n v="260039.73398687298"/>
    <n v="10938.179286749417"/>
    <n v="0"/>
    <n v="0"/>
    <n v="17955.124489569804"/>
    <n v="17955.124489569804"/>
    <n v="260039.73398687298"/>
    <n v="3.867533815053336E-2"/>
    <n v="0.59880092515825778"/>
    <n v="0.56012558700772441"/>
    <n v="3.8675338150533367E-2"/>
    <n v="5386.5373468709413"/>
    <n v="83398.457542932825"/>
    <n v="78011.920196061896"/>
    <n v="5386.5373468709295"/>
    <x v="0"/>
  </r>
  <r>
    <x v="7"/>
    <s v=""/>
    <n v="0"/>
    <x v="2"/>
    <s v="Østdanmark"/>
    <n v="128370.01056167646"/>
    <n v="128507.27970135745"/>
    <n v="0"/>
    <n v="0"/>
    <n v="0"/>
    <n v="0"/>
    <n v="0"/>
    <n v="0"/>
    <n v="-137.2691396809823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92.67287590137244"/>
    <n v="0"/>
    <n v="0"/>
    <n v="0"/>
    <n v="803.40558831123519"/>
    <n v="89.267287590137229"/>
    <n v="0"/>
    <n v="0"/>
    <n v="0"/>
    <n v="0"/>
    <n v="803.40558831123519"/>
    <n v="0"/>
    <n v="3.7783361412689083E-4"/>
    <n v="3.7783361412689083E-4"/>
    <n v="0"/>
    <n v="0"/>
    <n v="50.614552063607817"/>
    <n v="50.614552063607817"/>
    <n v="0"/>
    <x v="0"/>
  </r>
  <r>
    <x v="9"/>
    <s v=""/>
    <n v="0"/>
    <x v="2"/>
    <s v="Østdanmark"/>
    <n v="9620.9199896373884"/>
    <n v="0"/>
    <n v="0"/>
    <n v="15996.501094221892"/>
    <n v="0"/>
    <n v="0"/>
    <n v="0"/>
    <n v="0"/>
    <n v="-6375.5811045845039"/>
    <n v="0"/>
    <n v="0"/>
    <n v="0"/>
    <n v="0"/>
    <n v="0"/>
    <n v="0"/>
    <n v="0"/>
    <n v="0"/>
    <n v="0"/>
    <n v="0"/>
    <x v="0"/>
  </r>
  <r>
    <x v="10"/>
    <s v=""/>
    <n v="0"/>
    <x v="2"/>
    <s v="Østdanmark"/>
    <n v="244576.33466221322"/>
    <n v="0"/>
    <n v="0"/>
    <n v="0"/>
    <n v="0"/>
    <n v="0"/>
    <n v="0"/>
    <n v="0"/>
    <n v="244576.33466221322"/>
    <n v="0"/>
    <n v="0"/>
    <n v="0"/>
    <n v="0"/>
    <n v="0"/>
    <n v="0"/>
    <n v="0"/>
    <n v="0"/>
    <n v="0"/>
    <n v="0"/>
    <x v="0"/>
  </r>
  <r>
    <x v="11"/>
    <s v=""/>
    <n v="0"/>
    <x v="2"/>
    <s v="Østdanmark"/>
    <n v="35974.29143745116"/>
    <n v="0"/>
    <n v="0"/>
    <n v="233795.01599247381"/>
    <n v="0"/>
    <n v="0"/>
    <n v="0"/>
    <n v="0"/>
    <n v="-197820.72455502267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815303.0196031071"/>
    <n v="771991.75994211878"/>
    <n v="0"/>
    <n v="0"/>
    <n v="0"/>
    <n v="0"/>
    <n v="0"/>
    <n v="372977.38153229345"/>
    <n v="1670333.8781286948"/>
    <n v="62104.977447957266"/>
    <n v="0"/>
    <n v="0.11426539538206038"/>
    <n v="0.11426539538206038"/>
    <n v="0"/>
    <n v="0.11426539538206038"/>
    <n v="17389.393685428036"/>
    <n v="17389.393685428036"/>
    <n v="0"/>
    <n v="17389.393685428036"/>
    <x v="0"/>
  </r>
  <r>
    <x v="14"/>
    <s v=""/>
    <n v="0"/>
    <x v="2"/>
    <s v="Østdanmark"/>
    <n v="62351.14798709999"/>
    <n v="62351.1479870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388219.23407538212"/>
    <n v="0"/>
    <n v="0"/>
    <n v="244869.51675001203"/>
    <n v="0"/>
    <n v="0"/>
    <n v="0"/>
    <n v="0"/>
    <n v="143349.71732537009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948113.41210557171"/>
    <n v="0"/>
    <n v="49764.085742999996"/>
    <n v="0"/>
    <n v="0"/>
    <n v="0"/>
    <n v="190717.92520308075"/>
    <n v="707631.40115949092"/>
    <n v="0"/>
    <n v="0"/>
    <n v="190717.92520308075"/>
    <n v="0"/>
    <n v="1.9712235403005558"/>
    <n v="0"/>
    <n v="1.9712235403005558"/>
    <n v="0"/>
    <n v="162110.23642261865"/>
    <n v="0"/>
    <n v="162110.23642261865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3784.44874310441"/>
    <n v="0"/>
    <n v="0"/>
    <n v="0"/>
    <n v="172421.96543868803"/>
    <n v="0"/>
    <n v="0"/>
    <n v="0"/>
    <n v="11362.483304416382"/>
    <n v="11362.483304416382"/>
    <n v="172421.96543868803"/>
    <n v="4.9235117280865763E-2"/>
    <n v="0.68429288971700675"/>
    <n v="0.63505777243614103"/>
    <n v="4.9235117280865714E-2"/>
    <n v="4772.2429878548801"/>
    <n v="77189.46847210385"/>
    <n v="72417.225484248964"/>
    <n v="4772.2429878548865"/>
    <x v="0"/>
  </r>
  <r>
    <x v="20"/>
    <s v=""/>
    <n v="0"/>
    <x v="2"/>
    <s v="Østdanmark"/>
    <n v="160738.91424393514"/>
    <n v="0"/>
    <n v="0"/>
    <n v="0"/>
    <n v="0"/>
    <n v="0"/>
    <n v="0"/>
    <n v="0"/>
    <n v="160738.91424393514"/>
    <n v="0"/>
    <n v="0"/>
    <n v="0"/>
    <n v="0"/>
    <n v="0"/>
    <n v="0"/>
    <n v="0"/>
    <n v="0"/>
    <n v="0"/>
    <n v="0"/>
    <x v="0"/>
  </r>
  <r>
    <x v="21"/>
    <s v=""/>
    <n v="0"/>
    <x v="2"/>
    <s v="Østdanmark"/>
    <n v="539879.99665096425"/>
    <n v="0"/>
    <n v="0"/>
    <n v="111975.50765955324"/>
    <n v="0"/>
    <n v="0"/>
    <n v="0"/>
    <n v="0"/>
    <n v="427904.48899141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63803.7512143303"/>
    <n v="368193.19308724854"/>
    <n v="0"/>
    <n v="268249.01834925939"/>
    <n v="0"/>
    <n v="0"/>
    <n v="0"/>
    <n v="0"/>
    <n v="627361.53977782233"/>
    <n v="627361.53977782233"/>
    <n v="0"/>
    <n v="2.148625443123473"/>
    <n v="2.148625443123473"/>
    <n v="0"/>
    <n v="2.148625443123473"/>
    <n v="194482.07733112492"/>
    <n v="194482.07733112492"/>
    <n v="0"/>
    <n v="194482.07733112492"/>
    <x v="0"/>
  </r>
  <r>
    <x v="23"/>
    <s v=""/>
    <n v="0"/>
    <x v="2"/>
    <s v="Østdanmark"/>
    <n v="0"/>
    <n v="0"/>
    <n v="0"/>
    <n v="0"/>
    <n v="0"/>
    <n v="428883.93622894585"/>
    <n v="0"/>
    <n v="0"/>
    <n v="-428883.936228945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389113.08134287433"/>
    <n v="0"/>
    <n v="0"/>
    <n v="0"/>
    <n v="350201.77320858691"/>
    <n v="38911.308134287421"/>
    <n v="0"/>
    <n v="0"/>
    <n v="0"/>
    <n v="0"/>
    <n v="350201.77320858691"/>
    <n v="0"/>
    <n v="0.17726863558045464"/>
    <n v="0.17726863558045464"/>
    <n v="0"/>
    <n v="0"/>
    <n v="26615.334763852603"/>
    <n v="26615.334763852603"/>
    <n v="0"/>
    <x v="0"/>
  </r>
  <r>
    <x v="25"/>
    <s v=""/>
    <n v="0"/>
    <x v="2"/>
    <s v="Østdanmark"/>
    <n v="48832.551981699173"/>
    <n v="94582.81637840427"/>
    <n v="0"/>
    <n v="0"/>
    <n v="0"/>
    <n v="0"/>
    <n v="0"/>
    <n v="0"/>
    <n v="-45750.264396705097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879333.41051066038"/>
    <n v="356442.16067445499"/>
    <n v="0"/>
    <n v="0"/>
    <n v="0"/>
    <n v="0"/>
    <n v="0"/>
    <n v="0"/>
    <n v="522891.24983620539"/>
    <n v="30250.2127053187"/>
    <n v="0"/>
    <n v="0.10859826361209414"/>
    <n v="0.10859826361209414"/>
    <n v="0"/>
    <n v="0.10859826361209414"/>
    <n v="9075.0638115956099"/>
    <n v="9075.0638115956099"/>
    <n v="0"/>
    <n v="9075.0638115956099"/>
    <x v="0"/>
  </r>
  <r>
    <x v="27"/>
    <s v=""/>
    <n v="0"/>
    <x v="2"/>
    <s v="Østdanmark"/>
    <n v="94221.48175062571"/>
    <n v="0"/>
    <n v="0"/>
    <n v="428214.02929147833"/>
    <n v="0"/>
    <n v="0"/>
    <n v="0"/>
    <n v="0"/>
    <n v="-333992.54754085263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  <x v="0"/>
  </r>
  <r>
    <x v="29"/>
    <s v=""/>
    <n v="0"/>
    <x v="2"/>
    <s v="Østdanmark"/>
    <n v="2788.1222579681466"/>
    <n v="0"/>
    <n v="0"/>
    <n v="27206.356861018925"/>
    <n v="0"/>
    <n v="0"/>
    <n v="0"/>
    <n v="0"/>
    <n v="-24418.23460305078"/>
    <n v="0"/>
    <n v="0"/>
    <n v="0"/>
    <n v="0"/>
    <n v="0"/>
    <n v="0"/>
    <n v="0"/>
    <n v="0"/>
    <n v="0"/>
    <n v="0"/>
    <x v="1"/>
  </r>
  <r>
    <x v="30"/>
    <s v=""/>
    <n v="0"/>
    <x v="2"/>
    <s v="Østdanmark"/>
    <n v="353112.97272373439"/>
    <n v="0"/>
    <n v="0"/>
    <n v="0"/>
    <n v="0"/>
    <n v="0"/>
    <n v="0"/>
    <n v="0"/>
    <n v="353112.97272373439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0151.8698273154"/>
    <n v="0"/>
    <n v="0"/>
    <n v="0"/>
    <n v="0"/>
    <n v="0"/>
    <n v="30151.8698273154"/>
    <n v="0"/>
    <n v="0"/>
    <n v="0"/>
    <n v="30151.8698273154"/>
    <n v="0"/>
    <n v="0.55479440482260323"/>
    <n v="0"/>
    <n v="0.55479440482260323"/>
    <n v="0"/>
    <n v="12513.025978335892"/>
    <n v="0"/>
    <n v="12513.025978335892"/>
    <x v="0"/>
  </r>
  <r>
    <x v="32"/>
    <s v="Pyrolyseprodukter"/>
    <n v="1"/>
    <x v="2"/>
    <s v="Østdanmark"/>
    <n v="396273.58464931493"/>
    <n v="0"/>
    <n v="0"/>
    <n v="0"/>
    <n v="0"/>
    <n v="0"/>
    <n v="396273.58464931493"/>
    <n v="0"/>
    <n v="0"/>
    <n v="0"/>
    <n v="396273.58464931493"/>
    <n v="0"/>
    <n v="3.5511774235787885"/>
    <n v="0"/>
    <n v="3.5511774235787885"/>
    <n v="0"/>
    <n v="0"/>
    <n v="0"/>
    <n v="0"/>
    <x v="0"/>
  </r>
  <r>
    <x v="33"/>
    <s v="Pyrolyseprodukter"/>
    <n v="1"/>
    <x v="2"/>
    <s v="Østdanmark"/>
    <n v="99068.396162328732"/>
    <n v="0"/>
    <n v="0"/>
    <n v="0"/>
    <n v="0"/>
    <n v="0"/>
    <n v="99068.396162328732"/>
    <n v="0"/>
    <n v="0"/>
    <n v="0"/>
    <n v="99068.396162328732"/>
    <n v="0"/>
    <n v="3.2958640140404443"/>
    <n v="0"/>
    <n v="3.2958640140404443"/>
    <n v="0"/>
    <n v="0"/>
    <n v="0"/>
    <n v="0"/>
    <x v="0"/>
  </r>
  <r>
    <x v="34"/>
    <s v=""/>
    <n v="0"/>
    <x v="2"/>
    <s v="Østdanmark"/>
    <n v="146722.08587930756"/>
    <n v="0"/>
    <n v="0"/>
    <n v="0"/>
    <n v="0"/>
    <n v="0"/>
    <n v="0"/>
    <n v="0"/>
    <n v="146722.08587930756"/>
    <n v="0"/>
    <n v="0"/>
    <n v="0"/>
    <n v="0"/>
    <n v="0"/>
    <n v="0"/>
    <n v="0"/>
    <n v="0"/>
    <n v="0"/>
    <n v="0"/>
    <x v="0"/>
  </r>
  <r>
    <x v="35"/>
    <s v=""/>
    <n v="0"/>
    <x v="2"/>
    <s v="Østdanmark"/>
    <n v="189586.12196995915"/>
    <n v="0"/>
    <n v="0"/>
    <n v="0"/>
    <n v="0"/>
    <n v="0"/>
    <n v="0"/>
    <n v="189586.1219699591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4793.060984979573"/>
    <n v="38608.730223956329"/>
    <n v="0"/>
    <n v="0"/>
    <n v="0"/>
    <n v="0"/>
    <n v="0"/>
    <n v="0"/>
    <n v="56184.33076102324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0667.559030386925"/>
    <n v="0"/>
    <n v="0"/>
    <n v="0"/>
    <n v="0"/>
    <n v="0"/>
    <n v="60667.559030386925"/>
    <n v="0"/>
    <n v="0"/>
    <n v="0"/>
    <n v="60667.559030386925"/>
    <n v="0"/>
    <n v="2.1233645660635423"/>
    <n v="0"/>
    <n v="2.1233645660635423"/>
    <n v="0"/>
    <n v="0"/>
    <n v="0"/>
    <n v="0"/>
    <x v="0"/>
  </r>
  <r>
    <x v="38"/>
    <s v="Græs og urter"/>
    <n v="1"/>
    <x v="2"/>
    <s v="Østdanmark"/>
    <n v="172146.61258475881"/>
    <n v="54392.16644359615"/>
    <n v="0"/>
    <n v="0"/>
    <n v="0"/>
    <n v="0"/>
    <n v="0"/>
    <n v="0"/>
    <n v="117754.44614116265"/>
    <n v="117754.44614116265"/>
    <n v="0"/>
    <n v="0.31959027700496112"/>
    <n v="0.31959027700496112"/>
    <n v="0"/>
    <n v="0.31959027700496112"/>
    <n v="23550.889228232532"/>
    <n v="23550.889228232532"/>
    <n v="0"/>
    <n v="23550.889228232532"/>
    <x v="0"/>
  </r>
  <r>
    <x v="39"/>
    <s v=""/>
    <n v="0"/>
    <x v="2"/>
    <s v="Østdanmark"/>
    <n v="7974.0452731213709"/>
    <n v="0"/>
    <n v="0"/>
    <n v="0"/>
    <n v="0"/>
    <n v="0"/>
    <n v="0"/>
    <n v="0"/>
    <n v="7974.0452731213709"/>
    <n v="0"/>
    <n v="0"/>
    <n v="0"/>
    <n v="0"/>
    <n v="0"/>
    <n v="0"/>
    <n v="0"/>
    <n v="0"/>
    <n v="0"/>
    <n v="0"/>
    <x v="0"/>
  </r>
  <r>
    <x v="40"/>
    <s v=""/>
    <n v="0"/>
    <x v="2"/>
    <s v="Østdanmark"/>
    <n v="6400.6434427366366"/>
    <n v="2409.7062023999997"/>
    <n v="0"/>
    <n v="0"/>
    <n v="0"/>
    <n v="0"/>
    <n v="0"/>
    <n v="0"/>
    <n v="3990.937240336636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5456.2673949548"/>
    <n v="0"/>
    <n v="0"/>
    <n v="0"/>
    <n v="3145910.6406554594"/>
    <n v="0"/>
    <n v="0"/>
    <n v="0"/>
    <n v="349545.62673949543"/>
    <n v="349545.62673949543"/>
    <n v="3145910.6406554594"/>
    <n v="0.17442676319927564"/>
    <n v="1.7442676319927566"/>
    <n v="1.5698408687934811"/>
    <n v="0.17442676319927553"/>
    <n v="20972.737604369726"/>
    <n v="209727.37604369727"/>
    <n v="188754.63843932757"/>
    <n v="20972.7376043697"/>
    <x v="0"/>
  </r>
  <r>
    <x v="42"/>
    <s v="Husdyrgødning"/>
    <n v="1"/>
    <x v="2"/>
    <s v="Østdanmark"/>
    <n v="581889.97753485164"/>
    <n v="0"/>
    <n v="0"/>
    <n v="0"/>
    <n v="523700.97978136648"/>
    <n v="58188.99775348515"/>
    <n v="0"/>
    <n v="0"/>
    <n v="0"/>
    <n v="0"/>
    <n v="523700.97978136648"/>
    <n v="0"/>
    <n v="0.22561038208981271"/>
    <n v="0.22561038208981271"/>
    <n v="0"/>
    <n v="0"/>
    <n v="26185.048989068324"/>
    <n v="26185.048989068324"/>
    <n v="0"/>
    <x v="0"/>
  </r>
  <r>
    <x v="43"/>
    <s v=""/>
    <n v="0"/>
    <x v="2"/>
    <s v="Østdanmark"/>
    <n v="69767.672570394658"/>
    <n v="0"/>
    <n v="0"/>
    <n v="55237.148778432362"/>
    <n v="0"/>
    <n v="0"/>
    <n v="0"/>
    <n v="0"/>
    <n v="14530.523791962296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375"/>
    <n v="0"/>
    <n v="0"/>
    <n v="0"/>
    <n v="0"/>
    <n v="0"/>
    <n v="0"/>
    <n v="0"/>
    <n v="3375"/>
    <n v="3375"/>
    <n v="0"/>
    <n v="3.0290625000000005E-3"/>
    <n v="3.0290625000000005E-3"/>
    <n v="0"/>
    <n v="3.0290625000000005E-3"/>
    <n v="506.25"/>
    <n v="506.25"/>
    <n v="0"/>
    <n v="506.2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453.92541579902"/>
    <n v="0"/>
    <n v="0"/>
    <n v="0"/>
    <n v="0"/>
    <n v="0"/>
    <n v="628453.92541579902"/>
    <n v="0"/>
    <n v="0"/>
    <n v="0"/>
    <n v="628453.92541579902"/>
    <n v="0"/>
    <n v="9.1085402689765971"/>
    <n v="0"/>
    <n v="9.1085402689765971"/>
    <n v="0"/>
    <n v="310822.83727856394"/>
    <n v="0"/>
    <n v="310822.83727856394"/>
    <x v="0"/>
  </r>
  <r>
    <x v="47"/>
    <s v=""/>
    <n v="0"/>
    <x v="2"/>
    <s v="Østdanmark"/>
    <n v="178611.5006135212"/>
    <n v="0"/>
    <n v="0"/>
    <n v="0"/>
    <n v="0"/>
    <n v="0"/>
    <n v="0"/>
    <n v="178611.500613521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454100.88944258494"/>
    <n v="3183247.2349925204"/>
    <n v="1405005.7483448237"/>
    <n v="1405005.7483448237"/>
  </r>
  <r>
    <x v="0"/>
    <x v="1"/>
    <x v="1"/>
    <s v="Konventionel"/>
    <x v="0"/>
    <s v="Halm"/>
    <n v="130554.00571474319"/>
    <n v="503938.46205890877"/>
    <n v="202310.07749072323"/>
    <n v="202310.07749072323"/>
  </r>
  <r>
    <x v="0"/>
    <x v="2"/>
    <x v="1"/>
    <s v="Konventionel"/>
    <x v="0"/>
    <s v="Halm"/>
    <n v="103307.95234818808"/>
    <n v="454554.99033202755"/>
    <n v="328302.34176730691"/>
    <n v="328302.34176730691"/>
  </r>
  <r>
    <x v="0"/>
    <x v="3"/>
    <x v="1"/>
    <s v="Konventionel"/>
    <x v="0"/>
    <s v="Græs"/>
    <n v="147582.78906884012"/>
    <n v="7323057.9935958479"/>
    <n v="0"/>
    <n v="7323057.9935958479"/>
  </r>
  <r>
    <x v="0"/>
    <x v="4"/>
    <x v="1"/>
    <s v="Konventionel"/>
    <x v="0"/>
    <s v="Grøntsager"/>
    <n v="45410.088944258496"/>
    <n v="942259.34559336386"/>
    <n v="0"/>
    <n v="942259.34559336386"/>
  </r>
  <r>
    <x v="0"/>
    <x v="5"/>
    <x v="1"/>
    <s v="Konventionel"/>
    <x v="0"/>
    <s v="Kartofler"/>
    <n v="34057.566708193874"/>
    <n v="1446455.4918871548"/>
    <n v="0"/>
    <n v="1446455.4918871548"/>
  </r>
  <r>
    <x v="0"/>
    <x v="6"/>
    <x v="1"/>
    <s v="Konventionel"/>
    <x v="0"/>
    <s v="Roer"/>
    <n v="5676.261118032312"/>
    <n v="461217.3959189239"/>
    <n v="0"/>
    <n v="461217.3959189239"/>
  </r>
  <r>
    <x v="0"/>
    <x v="7"/>
    <x v="1"/>
    <s v="Konventionel"/>
    <x v="0"/>
    <s v="Majs"/>
    <n v="56762.611180323118"/>
    <n v="2526503.8236361821"/>
    <n v="0"/>
    <n v="2526503.8236361821"/>
  </r>
  <r>
    <x v="0"/>
    <x v="8"/>
    <x v="1"/>
    <s v="Konventionel"/>
    <x v="0"/>
    <s v="Frugt"/>
    <n v="11352.522236064624"/>
    <n v="96382.91378418867"/>
    <n v="0"/>
    <n v="96382.91378418867"/>
  </r>
  <r>
    <x v="0"/>
    <x v="9"/>
    <x v="1"/>
    <s v="Konventionel"/>
    <x v="0"/>
    <s v="Øvrige"/>
    <n v="31751.49505701059"/>
    <n v="946065.75301914429"/>
    <n v="0"/>
    <n v="946065.75301914429"/>
  </r>
  <r>
    <x v="0"/>
    <x v="10"/>
    <x v="1"/>
    <s v="Konventionel"/>
    <x v="0"/>
    <s v="Halm"/>
    <n v="45858.862448153115"/>
    <n v="655270.90011043288"/>
    <n v="147206.94845857151"/>
    <n v="147206.94845857151"/>
  </r>
  <r>
    <x v="0"/>
    <x v="11"/>
    <x v="1"/>
    <s v="Konventionel"/>
    <x v="0"/>
    <s v="Juletræer"/>
    <n v="8613.084800025772"/>
    <n v="430654.24000128865"/>
    <n v="0"/>
    <n v="430654.24000128865"/>
  </r>
  <r>
    <x v="0"/>
    <x v="12"/>
    <x v="1"/>
    <s v="Konventionel"/>
    <x v="0"/>
    <s v="Pil &amp; poppel"/>
    <n v="3312.1091245534226"/>
    <n v="80783.149379351773"/>
    <n v="0"/>
    <n v="80783.149379351773"/>
  </r>
  <r>
    <x v="0"/>
    <x v="13"/>
    <x v="1"/>
    <s v="Konventionel"/>
    <x v="0"/>
    <s v="Græs"/>
    <n v="56762.611180323118"/>
    <n v="782756.40817665588"/>
    <n v="0"/>
    <n v="782756.40817665588"/>
  </r>
  <r>
    <x v="0"/>
    <x v="0"/>
    <x v="2"/>
    <s v="Konventionel"/>
    <x v="0"/>
    <s v="Halm"/>
    <n v="279222.43678052042"/>
    <n v="1957349.2818314482"/>
    <n v="1065776.6839572235"/>
    <n v="1065776.6839572235"/>
  </r>
  <r>
    <x v="0"/>
    <x v="1"/>
    <x v="2"/>
    <s v="Konventionel"/>
    <x v="0"/>
    <s v="Halm"/>
    <n v="78880.338390497025"/>
    <n v="304478.10618731857"/>
    <n v="150794.75409772928"/>
    <n v="150794.75409772928"/>
  </r>
  <r>
    <x v="0"/>
    <x v="2"/>
    <x v="2"/>
    <s v="Konventionel"/>
    <x v="0"/>
    <s v="Halm"/>
    <n v="71899.777470984001"/>
    <n v="316359.02087232959"/>
    <n v="281875.88759724575"/>
    <n v="281875.88759724575"/>
  </r>
  <r>
    <x v="0"/>
    <x v="3"/>
    <x v="2"/>
    <s v="Konventionel"/>
    <x v="0"/>
    <s v="Græs"/>
    <n v="62825.048275617097"/>
    <n v="3117378.8954361207"/>
    <n v="0"/>
    <n v="3117378.8954361207"/>
  </r>
  <r>
    <x v="0"/>
    <x v="4"/>
    <x v="2"/>
    <s v="Konventionel"/>
    <x v="0"/>
    <s v="Grøntsager"/>
    <n v="27922.243678052044"/>
    <n v="579386.55631957995"/>
    <n v="0"/>
    <n v="579386.55631957995"/>
  </r>
  <r>
    <x v="0"/>
    <x v="5"/>
    <x v="2"/>
    <s v="Konventionel"/>
    <x v="0"/>
    <s v="Kartofler"/>
    <n v="20941.682758539031"/>
    <n v="889412.10318937991"/>
    <n v="0"/>
    <n v="889412.10318937991"/>
  </r>
  <r>
    <x v="0"/>
    <x v="6"/>
    <x v="2"/>
    <s v="Konventionel"/>
    <x v="0"/>
    <s v="Roer"/>
    <n v="3490.2804597565055"/>
    <n v="283598.31078976736"/>
    <n v="0"/>
    <n v="283598.31078976736"/>
  </r>
  <r>
    <x v="0"/>
    <x v="7"/>
    <x v="2"/>
    <s v="Konventionel"/>
    <x v="0"/>
    <s v="Majs"/>
    <n v="27922.243678052044"/>
    <n v="1242819.0661100966"/>
    <n v="0"/>
    <n v="1242819.0661100966"/>
  </r>
  <r>
    <x v="0"/>
    <x v="8"/>
    <x v="2"/>
    <s v="Konventionel"/>
    <x v="0"/>
    <s v="Frugt"/>
    <n v="6980.560919513011"/>
    <n v="59264.962206665463"/>
    <n v="0"/>
    <n v="59264.962206665463"/>
  </r>
  <r>
    <x v="0"/>
    <x v="9"/>
    <x v="2"/>
    <s v="Konventionel"/>
    <x v="0"/>
    <s v="Øvrige"/>
    <n v="19523.70062988855"/>
    <n v="581727.08103890053"/>
    <n v="0"/>
    <n v="581727.08103890053"/>
  </r>
  <r>
    <x v="0"/>
    <x v="10"/>
    <x v="2"/>
    <s v="Konventionel"/>
    <x v="0"/>
    <s v="Halm"/>
    <n v="28198.190354733964"/>
    <n v="402920.01564849104"/>
    <n v="111664.83380474654"/>
    <n v="111664.83380474654"/>
  </r>
  <r>
    <x v="0"/>
    <x v="11"/>
    <x v="2"/>
    <s v="Konventionel"/>
    <x v="0"/>
    <s v="Juletræer"/>
    <n v="5296.1061781063381"/>
    <n v="264805.30890531692"/>
    <n v="0"/>
    <n v="264805.30890531692"/>
  </r>
  <r>
    <x v="0"/>
    <x v="12"/>
    <x v="2"/>
    <s v="Konventionel"/>
    <x v="0"/>
    <s v="Pil &amp; poppel"/>
    <n v="2036.585265833824"/>
    <n v="49672.811361800588"/>
    <n v="0"/>
    <n v="49672.811361800588"/>
  </r>
  <r>
    <x v="0"/>
    <x v="13"/>
    <x v="2"/>
    <s v="Konventionel"/>
    <x v="0"/>
    <s v="Græs"/>
    <n v="62825.048275617097"/>
    <n v="866357.41572075989"/>
    <n v="0"/>
    <n v="866357.4157207598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94614.666903965"/>
    <n v="914046.70604785252"/>
    <n v="403437.36488187092"/>
    <n v="403437.36488187092"/>
  </r>
  <r>
    <x v="0"/>
    <x v="1"/>
    <x v="1"/>
    <s v="Økologisk"/>
    <x v="0"/>
    <s v="Halm"/>
    <n v="55951.716734889946"/>
    <n v="123104.96716010488"/>
    <n v="49421.461787019522"/>
    <n v="49421.461787019522"/>
  </r>
  <r>
    <x v="0"/>
    <x v="2"/>
    <x v="1"/>
    <s v="Økologisk"/>
    <x v="0"/>
    <s v="Halm"/>
    <n v="44274.836720652034"/>
    <n v="107145.10486397793"/>
    <n v="77385.551988008068"/>
    <n v="77385.551988008068"/>
  </r>
  <r>
    <x v="0"/>
    <x v="3"/>
    <x v="1"/>
    <s v="Økologisk"/>
    <x v="0"/>
    <s v="Græs"/>
    <n v="63249.766743788627"/>
    <n v="2447993.6721448977"/>
    <n v="0"/>
    <n v="2447993.6721448977"/>
  </r>
  <r>
    <x v="0"/>
    <x v="4"/>
    <x v="1"/>
    <s v="Økologisk"/>
    <x v="0"/>
    <s v="Grøntsager"/>
    <n v="19461.466690396501"/>
    <n v="230180.49728066463"/>
    <n v="0"/>
    <n v="230180.49728066463"/>
  </r>
  <r>
    <x v="0"/>
    <x v="5"/>
    <x v="1"/>
    <s v="Økologisk"/>
    <x v="0"/>
    <s v="Kartofler"/>
    <n v="14596.100017797375"/>
    <n v="353348.41301814775"/>
    <n v="0"/>
    <n v="353348.41301814775"/>
  </r>
  <r>
    <x v="0"/>
    <x v="6"/>
    <x v="1"/>
    <s v="Økologisk"/>
    <x v="0"/>
    <s v="Roer"/>
    <n v="2432.6833362995626"/>
    <n v="112668.82100305143"/>
    <n v="0"/>
    <n v="112668.82100305143"/>
  </r>
  <r>
    <x v="0"/>
    <x v="7"/>
    <x v="1"/>
    <s v="Økologisk"/>
    <x v="0"/>
    <s v="Majs"/>
    <n v="24326.833362995625"/>
    <n v="898713.50297915644"/>
    <n v="0"/>
    <n v="898713.50297915644"/>
  </r>
  <r>
    <x v="0"/>
    <x v="8"/>
    <x v="1"/>
    <s v="Økologisk"/>
    <x v="0"/>
    <s v="Frugt"/>
    <n v="4865.3666725991252"/>
    <n v="23544.968938708946"/>
    <n v="0"/>
    <n v="23544.968938708946"/>
  </r>
  <r>
    <x v="0"/>
    <x v="9"/>
    <x v="1"/>
    <s v="Økologisk"/>
    <x v="0"/>
    <s v="Øvrige"/>
    <n v="13607.783595861683"/>
    <n v="231110.34823753382"/>
    <n v="0"/>
    <n v="231110.34823753382"/>
  </r>
  <r>
    <x v="0"/>
    <x v="10"/>
    <x v="1"/>
    <s v="Økologisk"/>
    <x v="0"/>
    <s v="Halm"/>
    <n v="19653.79819206562"/>
    <n v="160073.31988412002"/>
    <n v="35960.55455202247"/>
    <n v="35960.55455202247"/>
  </r>
  <r>
    <x v="0"/>
    <x v="11"/>
    <x v="1"/>
    <s v="Økologisk"/>
    <x v="0"/>
    <s v="Juletræer"/>
    <n v="3691.3220571539027"/>
    <n v="105202.67862888623"/>
    <n v="0"/>
    <n v="105202.67862888623"/>
  </r>
  <r>
    <x v="0"/>
    <x v="12"/>
    <x v="1"/>
    <s v="Økologisk"/>
    <x v="0"/>
    <s v="Pil &amp; poppel"/>
    <n v="1419.475339094324"/>
    <n v="19734.169348384505"/>
    <n v="0"/>
    <n v="19734.169348384505"/>
  </r>
  <r>
    <x v="0"/>
    <x v="13"/>
    <x v="1"/>
    <s v="Økologisk"/>
    <x v="0"/>
    <s v="Græs"/>
    <n v="24326.833362995625"/>
    <n v="335467.03207570966"/>
    <n v="0"/>
    <n v="335467.03207570966"/>
  </r>
  <r>
    <x v="0"/>
    <x v="0"/>
    <x v="2"/>
    <s v="Økologisk"/>
    <x v="0"/>
    <s v="Halm"/>
    <n v="279222.43678052042"/>
    <n v="1311424.0188270705"/>
    <n v="714070.37825133977"/>
    <n v="714070.37825133977"/>
  </r>
  <r>
    <x v="0"/>
    <x v="1"/>
    <x v="2"/>
    <s v="Økologisk"/>
    <x v="0"/>
    <s v="Halm"/>
    <n v="78880.338390497025"/>
    <n v="173552.52052677155"/>
    <n v="85953.009835705685"/>
    <n v="85953.009835705685"/>
  </r>
  <r>
    <x v="0"/>
    <x v="2"/>
    <x v="2"/>
    <s v="Økologisk"/>
    <x v="0"/>
    <s v="Halm"/>
    <n v="71899.777470984001"/>
    <n v="173997.46147978131"/>
    <n v="155031.73817848516"/>
    <n v="155031.73817848516"/>
  </r>
  <r>
    <x v="0"/>
    <x v="3"/>
    <x v="2"/>
    <s v="Økologisk"/>
    <x v="0"/>
    <s v="Græs"/>
    <n v="62825.048275617097"/>
    <n v="2431555.538440174"/>
    <n v="0"/>
    <n v="2431555.538440174"/>
  </r>
  <r>
    <x v="0"/>
    <x v="4"/>
    <x v="2"/>
    <s v="Økologisk"/>
    <x v="0"/>
    <s v="Grøntsager"/>
    <n v="27922.243678052044"/>
    <n v="330250.33710216056"/>
    <n v="0"/>
    <n v="330250.33710216056"/>
  </r>
  <r>
    <x v="0"/>
    <x v="5"/>
    <x v="2"/>
    <s v="Økologisk"/>
    <x v="0"/>
    <s v="Kartofler"/>
    <n v="20941.682758539031"/>
    <n v="506964.89881794649"/>
    <n v="0"/>
    <n v="506964.89881794649"/>
  </r>
  <r>
    <x v="0"/>
    <x v="6"/>
    <x v="2"/>
    <s v="Økologisk"/>
    <x v="0"/>
    <s v="Roer"/>
    <n v="3490.2804597565055"/>
    <n v="161651.03715016739"/>
    <n v="0"/>
    <n v="161651.03715016739"/>
  </r>
  <r>
    <x v="0"/>
    <x v="7"/>
    <x v="2"/>
    <s v="Økologisk"/>
    <x v="0"/>
    <s v="Majs"/>
    <n v="27922.243678052044"/>
    <n v="1031539.8248713801"/>
    <n v="0"/>
    <n v="1031539.8248713801"/>
  </r>
  <r>
    <x v="0"/>
    <x v="8"/>
    <x v="2"/>
    <s v="Økologisk"/>
    <x v="0"/>
    <s v="Frugt"/>
    <n v="6980.560919513011"/>
    <n v="33781.028457799308"/>
    <n v="0"/>
    <n v="33781.028457799308"/>
  </r>
  <r>
    <x v="0"/>
    <x v="9"/>
    <x v="2"/>
    <s v="Økologisk"/>
    <x v="0"/>
    <s v="Øvrige"/>
    <n v="19523.70062988855"/>
    <n v="331584.43619217328"/>
    <n v="0"/>
    <n v="331584.43619217328"/>
  </r>
  <r>
    <x v="0"/>
    <x v="10"/>
    <x v="2"/>
    <s v="Økologisk"/>
    <x v="0"/>
    <s v="Halm"/>
    <n v="28198.190354733964"/>
    <n v="229664.40891963989"/>
    <n v="63648.955268705526"/>
    <n v="63648.955268705526"/>
  </r>
  <r>
    <x v="0"/>
    <x v="11"/>
    <x v="2"/>
    <s v="Økologisk"/>
    <x v="0"/>
    <s v="Juletræer"/>
    <n v="5296.1061781063381"/>
    <n v="150939.02607603063"/>
    <n v="0"/>
    <n v="150939.02607603063"/>
  </r>
  <r>
    <x v="0"/>
    <x v="12"/>
    <x v="2"/>
    <s v="Økologisk"/>
    <x v="0"/>
    <s v="Pil &amp; poppel"/>
    <n v="2036.585265833824"/>
    <n v="28313.502476226335"/>
    <n v="0"/>
    <n v="28313.502476226335"/>
  </r>
  <r>
    <x v="0"/>
    <x v="13"/>
    <x v="2"/>
    <s v="Økologisk"/>
    <x v="0"/>
    <s v="Græs"/>
    <n v="62825.048275617097"/>
    <n v="866357.41572075989"/>
    <n v="0"/>
    <n v="866357.4157207598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4557.319038853899"/>
    <n v="122456.167754839"/>
    <n v="54049.091042792068"/>
    <n v="54049.091042792068"/>
  </r>
  <r>
    <x v="0"/>
    <x v="1"/>
    <x v="1"/>
    <s v="Konventionel"/>
    <x v="1"/>
    <s v="Halm"/>
    <n v="1247.9145723844704"/>
    <n v="5780.3402992848669"/>
    <n v="2320.5632868212592"/>
    <n v="2320.5632868212592"/>
  </r>
  <r>
    <x v="0"/>
    <x v="2"/>
    <x v="1"/>
    <s v="Konventionel"/>
    <x v="1"/>
    <s v="Halm"/>
    <n v="1336.2457077623992"/>
    <n v="7055.377336985468"/>
    <n v="5095.7462816377556"/>
    <n v="5095.7462816377556"/>
  </r>
  <r>
    <x v="0"/>
    <x v="3"/>
    <x v="1"/>
    <s v="Konventionel"/>
    <x v="1"/>
    <s v="Græs"/>
    <n v="12331.347057352174"/>
    <n v="734257.72918297781"/>
    <n v="0"/>
    <n v="734257.72918297781"/>
  </r>
  <r>
    <x v="0"/>
    <x v="4"/>
    <x v="1"/>
    <s v="Konventionel"/>
    <x v="1"/>
    <s v="Grøntsager"/>
    <n v="57.67417401848089"/>
    <n v="1436.0869330601743"/>
    <n v="0"/>
    <n v="1436.0869330601743"/>
  </r>
  <r>
    <x v="0"/>
    <x v="5"/>
    <x v="1"/>
    <s v="Konventionel"/>
    <x v="1"/>
    <s v="Kartofler"/>
    <n v="910.52572173905708"/>
    <n v="46405.015672377209"/>
    <n v="0"/>
    <n v="46405.015672377209"/>
  </r>
  <r>
    <x v="0"/>
    <x v="6"/>
    <x v="1"/>
    <s v="Konventionel"/>
    <x v="1"/>
    <s v="Roer"/>
    <n v="23.887933150205988"/>
    <n v="2329.180443039786"/>
    <n v="0"/>
    <n v="2329.180443039786"/>
  </r>
  <r>
    <x v="0"/>
    <x v="7"/>
    <x v="1"/>
    <s v="Konventionel"/>
    <x v="1"/>
    <s v="Majs"/>
    <n v="3083.5731934985547"/>
    <n v="164699.81141114482"/>
    <n v="0"/>
    <n v="164699.81141114482"/>
  </r>
  <r>
    <x v="0"/>
    <x v="8"/>
    <x v="1"/>
    <s v="Konventionel"/>
    <x v="1"/>
    <s v="Frugt"/>
    <n v="52.531320160301121"/>
    <n v="535.1890897931479"/>
    <n v="0"/>
    <n v="535.1890897931479"/>
  </r>
  <r>
    <x v="0"/>
    <x v="9"/>
    <x v="1"/>
    <s v="Konventionel"/>
    <x v="1"/>
    <s v="Øvrige"/>
    <n v="929.06374843043989"/>
    <n v="33218.797156484638"/>
    <n v="0"/>
    <n v="33218.797156484638"/>
  </r>
  <r>
    <x v="0"/>
    <x v="10"/>
    <x v="1"/>
    <s v="Konventionel"/>
    <x v="1"/>
    <s v="Halm"/>
    <n v="2293.2033112517015"/>
    <n v="39320.715369222467"/>
    <n v="8833.4191549415555"/>
    <n v="8833.4191549415555"/>
  </r>
  <r>
    <x v="0"/>
    <x v="11"/>
    <x v="1"/>
    <s v="Konventionel"/>
    <x v="1"/>
    <s v="Juletræer"/>
    <n v="263.47314981954139"/>
    <n v="15808.388989172483"/>
    <n v="0"/>
    <n v="15808.388989172483"/>
  </r>
  <r>
    <x v="0"/>
    <x v="12"/>
    <x v="1"/>
    <s v="Konventionel"/>
    <x v="1"/>
    <s v="Pil &amp; poppel"/>
    <n v="432.72006555120379"/>
    <n v="12664.977528327916"/>
    <n v="0"/>
    <n v="12664.977528327916"/>
  </r>
  <r>
    <x v="0"/>
    <x v="13"/>
    <x v="1"/>
    <s v="Konventionel"/>
    <x v="1"/>
    <s v="Græs"/>
    <n v="12230.860785508497"/>
    <n v="202396.28427859463"/>
    <n v="0"/>
    <n v="202396.28427859463"/>
  </r>
  <r>
    <x v="0"/>
    <x v="0"/>
    <x v="2"/>
    <s v="Konventionel"/>
    <x v="1"/>
    <s v="Halm"/>
    <n v="0.26413872447585557"/>
    <n v="2.2219349502908972"/>
    <n v="1.2098435804333936"/>
    <n v="1.2098435804333936"/>
  </r>
  <r>
    <x v="0"/>
    <x v="1"/>
    <x v="2"/>
    <s v="Konventionel"/>
    <x v="1"/>
    <s v="Halm"/>
    <n v="2.2643081636439695E-2"/>
    <n v="0.10488275413998867"/>
    <n v="5.1943863280278495E-2"/>
    <n v="5.1943863280278495E-2"/>
  </r>
  <r>
    <x v="0"/>
    <x v="2"/>
    <x v="2"/>
    <s v="Konventionel"/>
    <x v="1"/>
    <s v="Halm"/>
    <n v="2.42458268512665E-2"/>
    <n v="0.1280179657746871"/>
    <n v="0.11406400750524624"/>
    <n v="0.11406400750524624"/>
  </r>
  <r>
    <x v="0"/>
    <x v="3"/>
    <x v="2"/>
    <s v="Konventionel"/>
    <x v="1"/>
    <s v="Græs"/>
    <n v="0.22374904844117072"/>
    <n v="13.322913340381067"/>
    <n v="0"/>
    <n v="13.322913340381067"/>
  </r>
  <r>
    <x v="0"/>
    <x v="4"/>
    <x v="2"/>
    <s v="Konventionel"/>
    <x v="1"/>
    <s v="Grøntsager"/>
    <n v="1.0464827156552753E-3"/>
    <n v="2.6057419619816353E-2"/>
    <n v="0"/>
    <n v="2.6057419619816353E-2"/>
  </r>
  <r>
    <x v="0"/>
    <x v="5"/>
    <x v="2"/>
    <s v="Konventionel"/>
    <x v="1"/>
    <s v="Kartofler"/>
    <n v="1.6521249695819491E-2"/>
    <n v="0.84200680195773359"/>
    <n v="0"/>
    <n v="0.84200680195773359"/>
  </r>
  <r>
    <x v="0"/>
    <x v="6"/>
    <x v="2"/>
    <s v="Konventionel"/>
    <x v="1"/>
    <s v="Roer"/>
    <n v="4.334402629920434E-4"/>
    <n v="4.2262366419021209E-2"/>
    <n v="0"/>
    <n v="4.2262366419021209E-2"/>
  </r>
  <r>
    <x v="0"/>
    <x v="7"/>
    <x v="2"/>
    <s v="Konventionel"/>
    <x v="1"/>
    <s v="Majs"/>
    <n v="5.5950624423683287E-2"/>
    <n v="2.9884347517177718"/>
    <n v="0"/>
    <n v="2.9884347517177718"/>
  </r>
  <r>
    <x v="0"/>
    <x v="8"/>
    <x v="2"/>
    <s v="Konventionel"/>
    <x v="1"/>
    <s v="Frugt"/>
    <n v="9.5316698529038766E-4"/>
    <n v="9.7108652461384698E-3"/>
    <n v="0"/>
    <n v="9.7108652461384698E-3"/>
  </r>
  <r>
    <x v="0"/>
    <x v="9"/>
    <x v="2"/>
    <s v="Konventionel"/>
    <x v="1"/>
    <s v="Øvrige"/>
    <n v="1.685761731347574E-2"/>
    <n v="0.60274633578593584"/>
    <n v="0"/>
    <n v="0.60274633578593584"/>
  </r>
  <r>
    <x v="0"/>
    <x v="10"/>
    <x v="2"/>
    <s v="Konventionel"/>
    <x v="1"/>
    <s v="Halm"/>
    <n v="4.1609570826959194E-2"/>
    <n v="0.71346403657045177"/>
    <n v="0.19772868056971013"/>
    <n v="0.19772868056971013"/>
  </r>
  <r>
    <x v="0"/>
    <x v="11"/>
    <x v="2"/>
    <s v="Konventionel"/>
    <x v="1"/>
    <s v="Juletræer"/>
    <n v="4.7806509935808044E-3"/>
    <n v="0.28683905961484829"/>
    <n v="0"/>
    <n v="0.28683905961484829"/>
  </r>
  <r>
    <x v="0"/>
    <x v="12"/>
    <x v="2"/>
    <s v="Konventionel"/>
    <x v="1"/>
    <s v="Pil &amp; poppel"/>
    <n v="7.8515917570219224E-3"/>
    <n v="0.22980268557137334"/>
    <n v="0"/>
    <n v="0.22980268557137334"/>
  </r>
  <r>
    <x v="0"/>
    <x v="13"/>
    <x v="2"/>
    <s v="Konventionel"/>
    <x v="1"/>
    <s v="Græs"/>
    <n v="0.22192575147273302"/>
    <n v="3.6724273353707866"/>
    <n v="0"/>
    <n v="3.6724273353707866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6238.8510166516717"/>
    <n v="35162.413883889487"/>
    <n v="15519.810428001727"/>
    <n v="15519.810428001727"/>
  </r>
  <r>
    <x v="0"/>
    <x v="1"/>
    <x v="1"/>
    <s v="Økologisk"/>
    <x v="1"/>
    <s v="Halm"/>
    <n v="534.82053102191583"/>
    <n v="1412.054558825303"/>
    <n v="566.88046006633601"/>
    <n v="566.88046006633601"/>
  </r>
  <r>
    <x v="0"/>
    <x v="2"/>
    <x v="1"/>
    <s v="Økologisk"/>
    <x v="1"/>
    <s v="Halm"/>
    <n v="572.67673189817094"/>
    <n v="1663.0532294322886"/>
    <n v="1201.1401949574704"/>
    <n v="1201.1401949574704"/>
  </r>
  <r>
    <x v="0"/>
    <x v="3"/>
    <x v="1"/>
    <s v="Økologisk"/>
    <x v="1"/>
    <s v="Græs"/>
    <n v="5284.8630245795039"/>
    <n v="245451.86946973833"/>
    <n v="0"/>
    <n v="245451.86946973833"/>
  </r>
  <r>
    <x v="0"/>
    <x v="4"/>
    <x v="1"/>
    <s v="Økologisk"/>
    <x v="1"/>
    <s v="Grøntsager"/>
    <n v="24.717503150777528"/>
    <n v="350.81552221898539"/>
    <n v="0"/>
    <n v="350.81552221898539"/>
  </r>
  <r>
    <x v="0"/>
    <x v="5"/>
    <x v="1"/>
    <s v="Økologisk"/>
    <x v="1"/>
    <s v="Kartofler"/>
    <n v="390.22530931673873"/>
    <n v="11336.082399966434"/>
    <n v="0"/>
    <n v="11336.082399966434"/>
  </r>
  <r>
    <x v="0"/>
    <x v="6"/>
    <x v="1"/>
    <s v="Økologisk"/>
    <x v="1"/>
    <s v="Roer"/>
    <n v="10.237685635802565"/>
    <n v="568.98550822829043"/>
    <n v="0"/>
    <n v="568.98550822829043"/>
  </r>
  <r>
    <x v="0"/>
    <x v="7"/>
    <x v="1"/>
    <s v="Økologisk"/>
    <x v="1"/>
    <s v="Majs"/>
    <n v="1321.5313686422378"/>
    <n v="58586.075773392935"/>
    <n v="0"/>
    <n v="58586.075773392935"/>
  </r>
  <r>
    <x v="0"/>
    <x v="8"/>
    <x v="1"/>
    <s v="Økologisk"/>
    <x v="1"/>
    <s v="Frugt"/>
    <n v="22.51342292584334"/>
    <n v="130.73904907804038"/>
    <n v="0"/>
    <n v="130.73904907804038"/>
  </r>
  <r>
    <x v="0"/>
    <x v="9"/>
    <x v="1"/>
    <s v="Økologisk"/>
    <x v="1"/>
    <s v="Øvrige"/>
    <n v="398.1701778987599"/>
    <n v="8114.8775910841032"/>
    <n v="0"/>
    <n v="8114.8775910841032"/>
  </r>
  <r>
    <x v="0"/>
    <x v="10"/>
    <x v="1"/>
    <s v="Økologisk"/>
    <x v="1"/>
    <s v="Halm"/>
    <n v="982.80141910787222"/>
    <n v="9605.4890401957746"/>
    <n v="2157.8781078500083"/>
    <n v="2157.8781078500083"/>
  </r>
  <r>
    <x v="0"/>
    <x v="11"/>
    <x v="1"/>
    <s v="Økologisk"/>
    <x v="1"/>
    <s v="Juletræer"/>
    <n v="112.9170642083749"/>
    <n v="3861.7635959264212"/>
    <n v="0"/>
    <n v="3861.7635959264212"/>
  </r>
  <r>
    <x v="0"/>
    <x v="12"/>
    <x v="1"/>
    <s v="Økologisk"/>
    <x v="1"/>
    <s v="Pil &amp; poppel"/>
    <n v="185.45145666480164"/>
    <n v="3093.8730819201055"/>
    <n v="0"/>
    <n v="3093.8730819201055"/>
  </r>
  <r>
    <x v="0"/>
    <x v="13"/>
    <x v="1"/>
    <s v="Økologisk"/>
    <x v="1"/>
    <s v="Græs"/>
    <n v="5241.7974795036425"/>
    <n v="86741.264690826283"/>
    <n v="0"/>
    <n v="86741.264690826283"/>
  </r>
  <r>
    <x v="0"/>
    <x v="0"/>
    <x v="2"/>
    <s v="Økologisk"/>
    <x v="1"/>
    <s v="Halm"/>
    <n v="0.26413872447585557"/>
    <n v="1.488696416694901"/>
    <n v="0.81059519889037368"/>
    <n v="0.81059519889037368"/>
  </r>
  <r>
    <x v="0"/>
    <x v="1"/>
    <x v="2"/>
    <s v="Økologisk"/>
    <x v="1"/>
    <s v="Halm"/>
    <n v="2.2643081636439695E-2"/>
    <n v="5.9783169859793532E-2"/>
    <n v="2.9608002069758735E-2"/>
    <n v="2.9608002069758735E-2"/>
  </r>
  <r>
    <x v="0"/>
    <x v="2"/>
    <x v="2"/>
    <s v="Økologisk"/>
    <x v="1"/>
    <s v="Halm"/>
    <n v="2.42458268512665E-2"/>
    <n v="7.040988117607791E-2"/>
    <n v="6.2735204127885441E-2"/>
    <n v="6.2735204127885441E-2"/>
  </r>
  <r>
    <x v="0"/>
    <x v="3"/>
    <x v="2"/>
    <s v="Økologisk"/>
    <x v="1"/>
    <s v="Græs"/>
    <n v="0.22374904844117072"/>
    <n v="10.391872405497233"/>
    <n v="0"/>
    <n v="10.391872405497233"/>
  </r>
  <r>
    <x v="0"/>
    <x v="4"/>
    <x v="2"/>
    <s v="Økologisk"/>
    <x v="1"/>
    <s v="Grøntsager"/>
    <n v="1.0464827156552753E-3"/>
    <n v="1.4852729183295322E-2"/>
    <n v="0"/>
    <n v="1.4852729183295322E-2"/>
  </r>
  <r>
    <x v="0"/>
    <x v="5"/>
    <x v="2"/>
    <s v="Økologisk"/>
    <x v="1"/>
    <s v="Kartofler"/>
    <n v="1.6521249695819491E-2"/>
    <n v="0.47994387711590814"/>
    <n v="0"/>
    <n v="0.47994387711590814"/>
  </r>
  <r>
    <x v="0"/>
    <x v="6"/>
    <x v="2"/>
    <s v="Økologisk"/>
    <x v="1"/>
    <s v="Roer"/>
    <n v="4.334402629920434E-4"/>
    <n v="2.4089548858842087E-2"/>
    <n v="0"/>
    <n v="2.4089548858842087E-2"/>
  </r>
  <r>
    <x v="0"/>
    <x v="7"/>
    <x v="2"/>
    <s v="Økologisk"/>
    <x v="1"/>
    <s v="Majs"/>
    <n v="5.5950624423683287E-2"/>
    <n v="2.4804008439257506"/>
    <n v="0"/>
    <n v="2.4804008439257506"/>
  </r>
  <r>
    <x v="0"/>
    <x v="8"/>
    <x v="2"/>
    <s v="Økologisk"/>
    <x v="1"/>
    <s v="Frugt"/>
    <n v="9.5316698529038766E-4"/>
    <n v="5.5351931902989275E-3"/>
    <n v="0"/>
    <n v="5.5351931902989275E-3"/>
  </r>
  <r>
    <x v="0"/>
    <x v="9"/>
    <x v="2"/>
    <s v="Økologisk"/>
    <x v="1"/>
    <s v="Øvrige"/>
    <n v="1.685761731347574E-2"/>
    <n v="0.34356541139798341"/>
    <n v="0"/>
    <n v="0.34356541139798341"/>
  </r>
  <r>
    <x v="0"/>
    <x v="10"/>
    <x v="2"/>
    <s v="Økologisk"/>
    <x v="1"/>
    <s v="Halm"/>
    <n v="4.1609570826959194E-2"/>
    <n v="0.40667450084515749"/>
    <n v="0.11270534792473477"/>
    <n v="0.11270534792473477"/>
  </r>
  <r>
    <x v="0"/>
    <x v="11"/>
    <x v="2"/>
    <s v="Økologisk"/>
    <x v="1"/>
    <s v="Juletræer"/>
    <n v="4.7806509935808044E-3"/>
    <n v="0.16349826398046352"/>
    <n v="0"/>
    <n v="0.16349826398046352"/>
  </r>
  <r>
    <x v="0"/>
    <x v="12"/>
    <x v="2"/>
    <s v="Økologisk"/>
    <x v="1"/>
    <s v="Pil &amp; poppel"/>
    <n v="7.8515917570219224E-3"/>
    <n v="0.13098753077568279"/>
    <n v="0"/>
    <n v="0.13098753077568279"/>
  </r>
  <r>
    <x v="0"/>
    <x v="13"/>
    <x v="2"/>
    <s v="Økologisk"/>
    <x v="1"/>
    <s v="Græs"/>
    <n v="0.22192575147273302"/>
    <n v="3.6724273353707866"/>
    <n v="0"/>
    <n v="3.6724273353707866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4014192427030884"/>
    <n v="2.3567528447888106"/>
    <n v="1.0402117868686616"/>
    <n v="1.0402117868686616"/>
  </r>
  <r>
    <x v="0"/>
    <x v="1"/>
    <x v="1"/>
    <s v="Konventionel"/>
    <x v="2"/>
    <s v="Halm"/>
    <n v="1.3827185240981857E-2"/>
    <n v="7.4722109042265963E-2"/>
    <n v="2.9997781095827455E-2"/>
    <n v="2.9997781095827455E-2"/>
  </r>
  <r>
    <x v="0"/>
    <x v="2"/>
    <x v="1"/>
    <s v="Konventionel"/>
    <x v="2"/>
    <s v="Halm"/>
    <n v="1.7905578760527514E-2"/>
    <n v="0.11029836516484948"/>
    <n v="7.9662994240312548E-2"/>
    <n v="7.9662994240312548E-2"/>
  </r>
  <r>
    <x v="0"/>
    <x v="3"/>
    <x v="1"/>
    <s v="Konventionel"/>
    <x v="2"/>
    <s v="Græs"/>
    <n v="0.41295916925078141"/>
    <n v="28.687447569513285"/>
    <n v="0"/>
    <n v="28.687447569513285"/>
  </r>
  <r>
    <x v="0"/>
    <x v="4"/>
    <x v="1"/>
    <s v="Konventionel"/>
    <x v="2"/>
    <s v="Grøntsager"/>
    <n v="4.7998760752444386E-4"/>
    <n v="1.3943639998585096E-2"/>
    <n v="0"/>
    <n v="1.3943639998585096E-2"/>
  </r>
  <r>
    <x v="0"/>
    <x v="5"/>
    <x v="1"/>
    <s v="Konventionel"/>
    <x v="2"/>
    <s v="Kartofler"/>
    <n v="2.5405884819884754E-2"/>
    <n v="1.5106150922164066"/>
    <n v="0"/>
    <n v="1.5106150922164066"/>
  </r>
  <r>
    <x v="0"/>
    <x v="6"/>
    <x v="1"/>
    <s v="Konventionel"/>
    <x v="2"/>
    <s v="Roer"/>
    <n v="2.7474083124338298E-4"/>
    <n v="3.1253204767232354E-2"/>
    <n v="0"/>
    <n v="3.1253204767232354E-2"/>
  </r>
  <r>
    <x v="0"/>
    <x v="7"/>
    <x v="1"/>
    <s v="Konventionel"/>
    <x v="2"/>
    <s v="Majs"/>
    <n v="3.4166711964234063E-2"/>
    <n v="2.1290644893392812"/>
    <n v="0"/>
    <n v="2.1290644893392812"/>
  </r>
  <r>
    <x v="0"/>
    <x v="8"/>
    <x v="1"/>
    <s v="Konventionel"/>
    <x v="2"/>
    <s v="Frugt"/>
    <n v="9.7911413909652196E-4"/>
    <n v="1.1637750657301259E-2"/>
    <n v="0"/>
    <n v="1.1637750657301259E-2"/>
  </r>
  <r>
    <x v="0"/>
    <x v="9"/>
    <x v="1"/>
    <s v="Konventionel"/>
    <x v="2"/>
    <s v="Øvrige"/>
    <n v="1.7316516117135472E-2"/>
    <n v="0.7223467103786726"/>
    <n v="0"/>
    <n v="0.7223467103786726"/>
  </r>
  <r>
    <x v="0"/>
    <x v="10"/>
    <x v="1"/>
    <s v="Konventionel"/>
    <x v="2"/>
    <s v="Halm"/>
    <n v="5.5095364744618444E-2"/>
    <n v="1.1021499934611174"/>
    <n v="0.24759856916231532"/>
    <n v="0.24759856916231532"/>
  </r>
  <r>
    <x v="0"/>
    <x v="11"/>
    <x v="1"/>
    <s v="Konventionel"/>
    <x v="2"/>
    <s v="Juletræer"/>
    <n v="4.9107900862457683E-3"/>
    <n v="0.34375530603720378"/>
    <n v="0"/>
    <n v="0.34375530603720378"/>
  </r>
  <r>
    <x v="0"/>
    <x v="12"/>
    <x v="1"/>
    <s v="Konventionel"/>
    <x v="2"/>
    <s v="Pil &amp; poppel"/>
    <n v="1.1592037098283917E-2"/>
    <n v="0.39582565701457278"/>
    <n v="0"/>
    <n v="0.39582565701457278"/>
  </r>
  <r>
    <x v="0"/>
    <x v="13"/>
    <x v="1"/>
    <s v="Konventionel"/>
    <x v="2"/>
    <s v="Græs"/>
    <n v="0.42873455406185462"/>
    <n v="8.2771493007181665"/>
    <n v="0"/>
    <n v="8.2771493007181665"/>
  </r>
  <r>
    <x v="0"/>
    <x v="0"/>
    <x v="2"/>
    <s v="Konventionel"/>
    <x v="2"/>
    <s v="Halm"/>
    <n v="0.17152994590736345"/>
    <n v="1.6833948891348649"/>
    <n v="0.91660851713393399"/>
    <n v="0.91660851713393399"/>
  </r>
  <r>
    <x v="0"/>
    <x v="1"/>
    <x v="2"/>
    <s v="Konventionel"/>
    <x v="2"/>
    <s v="Halm"/>
    <n v="9.8765608864156123E-3"/>
    <n v="5.3372935030189965E-2"/>
    <n v="2.6433291753332606E-2"/>
    <n v="2.6433291753332606E-2"/>
  </r>
  <r>
    <x v="0"/>
    <x v="2"/>
    <x v="2"/>
    <s v="Konventionel"/>
    <x v="2"/>
    <s v="Halm"/>
    <n v="1.2789699114662512E-2"/>
    <n v="7.8784546546321069E-2"/>
    <n v="7.0197030972772079E-2"/>
    <n v="7.0197030972772079E-2"/>
  </r>
  <r>
    <x v="0"/>
    <x v="3"/>
    <x v="2"/>
    <s v="Konventionel"/>
    <x v="2"/>
    <s v="Græs"/>
    <n v="0.29497083517912959"/>
    <n v="20.491033978223776"/>
    <n v="0"/>
    <n v="20.491033978223776"/>
  </r>
  <r>
    <x v="0"/>
    <x v="4"/>
    <x v="2"/>
    <s v="Konventionel"/>
    <x v="2"/>
    <s v="Grøntsager"/>
    <n v="3.4284829108888854E-4"/>
    <n v="9.9597428561322126E-3"/>
    <n v="0"/>
    <n v="9.9597428561322126E-3"/>
  </r>
  <r>
    <x v="0"/>
    <x v="5"/>
    <x v="2"/>
    <s v="Konventionel"/>
    <x v="2"/>
    <s v="Kartofler"/>
    <n v="1.814706058563197E-2"/>
    <n v="1.0790107801545765"/>
    <n v="0"/>
    <n v="1.0790107801545765"/>
  </r>
  <r>
    <x v="0"/>
    <x v="6"/>
    <x v="2"/>
    <s v="Konventionel"/>
    <x v="2"/>
    <s v="Roer"/>
    <n v="1.962434508881307E-4"/>
    <n v="2.2323717690880252E-2"/>
    <n v="0"/>
    <n v="2.2323717690880252E-2"/>
  </r>
  <r>
    <x v="0"/>
    <x v="7"/>
    <x v="2"/>
    <s v="Konventionel"/>
    <x v="2"/>
    <s v="Majs"/>
    <n v="2.440479426016719E-2"/>
    <n v="1.5207603495280584"/>
    <n v="0"/>
    <n v="1.5207603495280584"/>
  </r>
  <r>
    <x v="0"/>
    <x v="8"/>
    <x v="2"/>
    <s v="Konventionel"/>
    <x v="2"/>
    <s v="Frugt"/>
    <n v="6.993672422118014E-4"/>
    <n v="8.3126790409294715E-3"/>
    <n v="0"/>
    <n v="8.3126790409294715E-3"/>
  </r>
  <r>
    <x v="0"/>
    <x v="9"/>
    <x v="2"/>
    <s v="Konventionel"/>
    <x v="2"/>
    <s v="Øvrige"/>
    <n v="1.2368940083668194E-2"/>
    <n v="0.51596193598476614"/>
    <n v="0"/>
    <n v="0.51596193598476614"/>
  </r>
  <r>
    <x v="0"/>
    <x v="10"/>
    <x v="2"/>
    <s v="Konventionel"/>
    <x v="2"/>
    <s v="Halm"/>
    <n v="3.9353831960441746E-2"/>
    <n v="0.78724999532936946"/>
    <n v="0.21817764438868906"/>
    <n v="0.21817764438868906"/>
  </r>
  <r>
    <x v="0"/>
    <x v="11"/>
    <x v="2"/>
    <s v="Konventionel"/>
    <x v="2"/>
    <s v="Juletræer"/>
    <n v="3.5077072044612627E-3"/>
    <n v="0.24553950431228838"/>
    <n v="0"/>
    <n v="0.24553950431228838"/>
  </r>
  <r>
    <x v="0"/>
    <x v="12"/>
    <x v="2"/>
    <s v="Konventionel"/>
    <x v="2"/>
    <s v="Pil &amp; poppel"/>
    <n v="8.2800264987742279E-3"/>
    <n v="0.28273261215326628"/>
    <n v="0"/>
    <n v="0.28273261215326628"/>
  </r>
  <r>
    <x v="0"/>
    <x v="13"/>
    <x v="2"/>
    <s v="Konventionel"/>
    <x v="2"/>
    <s v="Græs"/>
    <n v="0.30623896718703902"/>
    <n v="5.912249500512976"/>
    <n v="0"/>
    <n v="5.912249500512976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0.10291796754441808"/>
    <n v="0.67672474543221572"/>
    <n v="0.29868938451514426"/>
    <n v="0.29868938451514426"/>
  </r>
  <r>
    <x v="0"/>
    <x v="1"/>
    <x v="1"/>
    <s v="Økologisk"/>
    <x v="2"/>
    <s v="Halm"/>
    <n v="5.9259365318493672E-3"/>
    <n v="1.8253543780324968E-2"/>
    <n v="7.3280293819807055E-3"/>
    <n v="7.3280293819807055E-3"/>
  </r>
  <r>
    <x v="0"/>
    <x v="2"/>
    <x v="1"/>
    <s v="Økologisk"/>
    <x v="2"/>
    <s v="Halm"/>
    <n v="7.673819468797507E-3"/>
    <n v="2.5998900360285956E-2"/>
    <n v="1.8777705785216533E-2"/>
    <n v="1.8777705785216533E-2"/>
  </r>
  <r>
    <x v="0"/>
    <x v="3"/>
    <x v="1"/>
    <s v="Økologisk"/>
    <x v="2"/>
    <s v="Græs"/>
    <n v="0.17698250110747776"/>
    <n v="9.5898039018087271"/>
    <n v="0"/>
    <n v="9.5898039018087271"/>
  </r>
  <r>
    <x v="0"/>
    <x v="4"/>
    <x v="1"/>
    <s v="Økologisk"/>
    <x v="2"/>
    <s v="Grøntsager"/>
    <n v="2.0570897465333309E-4"/>
    <n v="3.4062320567972157E-3"/>
    <n v="0"/>
    <n v="3.4062320567972157E-3"/>
  </r>
  <r>
    <x v="0"/>
    <x v="5"/>
    <x v="1"/>
    <s v="Økologisk"/>
    <x v="2"/>
    <s v="Kartofler"/>
    <n v="1.088823635137918E-2"/>
    <n v="0.36902168681286501"/>
    <n v="0"/>
    <n v="0.36902168681286501"/>
  </r>
  <r>
    <x v="0"/>
    <x v="6"/>
    <x v="1"/>
    <s v="Økologisk"/>
    <x v="2"/>
    <s v="Roer"/>
    <n v="1.1774607053287841E-4"/>
    <n v="7.634711450281044E-3"/>
    <n v="0"/>
    <n v="7.634711450281044E-3"/>
  </r>
  <r>
    <x v="0"/>
    <x v="7"/>
    <x v="1"/>
    <s v="Økologisk"/>
    <x v="2"/>
    <s v="Majs"/>
    <n v="1.4642876556100312E-2"/>
    <n v="0.75733865406497303"/>
    <n v="0"/>
    <n v="0.75733865406497303"/>
  </r>
  <r>
    <x v="0"/>
    <x v="8"/>
    <x v="1"/>
    <s v="Økologisk"/>
    <x v="2"/>
    <s v="Frugt"/>
    <n v="4.1962034532708084E-4"/>
    <n v="2.8429362319978787E-3"/>
    <n v="0"/>
    <n v="2.8429362319978787E-3"/>
  </r>
  <r>
    <x v="0"/>
    <x v="9"/>
    <x v="1"/>
    <s v="Økologisk"/>
    <x v="2"/>
    <s v="Øvrige"/>
    <n v="7.4213640502009169E-3"/>
    <n v="0.17645898210679001"/>
    <n v="0"/>
    <n v="0.17645898210679001"/>
  </r>
  <r>
    <x v="0"/>
    <x v="10"/>
    <x v="1"/>
    <s v="Økologisk"/>
    <x v="2"/>
    <s v="Halm"/>
    <n v="2.3612299176265044E-2"/>
    <n v="0.26923949840264427"/>
    <n v="6.0484793323937004E-2"/>
    <n v="6.0484793323937004E-2"/>
  </r>
  <r>
    <x v="0"/>
    <x v="11"/>
    <x v="1"/>
    <s v="Økologisk"/>
    <x v="2"/>
    <s v="Juletræer"/>
    <n v="2.1046243226767575E-3"/>
    <n v="8.3974510474802616E-2"/>
    <n v="0"/>
    <n v="8.3974510474802616E-2"/>
  </r>
  <r>
    <x v="0"/>
    <x v="12"/>
    <x v="1"/>
    <s v="Økologisk"/>
    <x v="2"/>
    <s v="Pil &amp; poppel"/>
    <n v="4.9680158992645362E-3"/>
    <n v="9.6694553356417079E-2"/>
    <n v="0"/>
    <n v="9.6694553356417079E-2"/>
  </r>
  <r>
    <x v="0"/>
    <x v="13"/>
    <x v="1"/>
    <s v="Økologisk"/>
    <x v="2"/>
    <s v="Græs"/>
    <n v="0.1837433803122234"/>
    <n v="3.5473497003077847"/>
    <n v="0"/>
    <n v="3.5473497003077847"/>
  </r>
  <r>
    <x v="0"/>
    <x v="0"/>
    <x v="2"/>
    <s v="Økologisk"/>
    <x v="2"/>
    <s v="Halm"/>
    <n v="0.17152994590736345"/>
    <n v="1.1278745757203594"/>
    <n v="0.61412770647973591"/>
    <n v="0.61412770647973591"/>
  </r>
  <r>
    <x v="0"/>
    <x v="1"/>
    <x v="2"/>
    <s v="Økologisk"/>
    <x v="2"/>
    <s v="Halm"/>
    <n v="9.8765608864156123E-3"/>
    <n v="3.0422572967208281E-2"/>
    <n v="1.5066976299399584E-2"/>
    <n v="1.5066976299399584E-2"/>
  </r>
  <r>
    <x v="0"/>
    <x v="2"/>
    <x v="2"/>
    <s v="Økologisk"/>
    <x v="2"/>
    <s v="Halm"/>
    <n v="1.2789699114662512E-2"/>
    <n v="4.3331500600476594E-2"/>
    <n v="3.8608367035024641E-2"/>
    <n v="3.8608367035024641E-2"/>
  </r>
  <r>
    <x v="0"/>
    <x v="3"/>
    <x v="2"/>
    <s v="Økologisk"/>
    <x v="2"/>
    <s v="Græs"/>
    <n v="0.29497083517912959"/>
    <n v="15.983006503014545"/>
    <n v="0"/>
    <n v="15.983006503014545"/>
  </r>
  <r>
    <x v="0"/>
    <x v="4"/>
    <x v="2"/>
    <s v="Økologisk"/>
    <x v="2"/>
    <s v="Grøntsager"/>
    <n v="3.4284829108888854E-4"/>
    <n v="5.6770534279953601E-3"/>
    <n v="0"/>
    <n v="5.6770534279953601E-3"/>
  </r>
  <r>
    <x v="0"/>
    <x v="5"/>
    <x v="2"/>
    <s v="Økologisk"/>
    <x v="2"/>
    <s v="Kartofler"/>
    <n v="1.814706058563197E-2"/>
    <n v="0.61503614468810852"/>
    <n v="0"/>
    <n v="0.61503614468810852"/>
  </r>
  <r>
    <x v="0"/>
    <x v="6"/>
    <x v="2"/>
    <s v="Økologisk"/>
    <x v="2"/>
    <s v="Roer"/>
    <n v="1.962434508881307E-4"/>
    <n v="1.2724519083801742E-2"/>
    <n v="0"/>
    <n v="1.2724519083801742E-2"/>
  </r>
  <r>
    <x v="0"/>
    <x v="7"/>
    <x v="2"/>
    <s v="Økologisk"/>
    <x v="2"/>
    <s v="Majs"/>
    <n v="2.440479426016719E-2"/>
    <n v="1.2622310901082885"/>
    <n v="0"/>
    <n v="1.2622310901082885"/>
  </r>
  <r>
    <x v="0"/>
    <x v="8"/>
    <x v="2"/>
    <s v="Økologisk"/>
    <x v="2"/>
    <s v="Frugt"/>
    <n v="6.993672422118014E-4"/>
    <n v="4.7382270533297991E-3"/>
    <n v="0"/>
    <n v="4.7382270533297991E-3"/>
  </r>
  <r>
    <x v="0"/>
    <x v="9"/>
    <x v="2"/>
    <s v="Økologisk"/>
    <x v="2"/>
    <s v="Øvrige"/>
    <n v="1.2368940083668194E-2"/>
    <n v="0.29409830351131666"/>
    <n v="0"/>
    <n v="0.29409830351131666"/>
  </r>
  <r>
    <x v="0"/>
    <x v="10"/>
    <x v="2"/>
    <s v="Økologisk"/>
    <x v="2"/>
    <s v="Halm"/>
    <n v="3.9353831960441746E-2"/>
    <n v="0.44873249733774057"/>
    <n v="0.12436125730155274"/>
    <n v="0.12436125730155274"/>
  </r>
  <r>
    <x v="0"/>
    <x v="11"/>
    <x v="2"/>
    <s v="Økologisk"/>
    <x v="2"/>
    <s v="Juletræer"/>
    <n v="3.5077072044612627E-3"/>
    <n v="0.13995751745800436"/>
    <n v="0"/>
    <n v="0.13995751745800436"/>
  </r>
  <r>
    <x v="0"/>
    <x v="12"/>
    <x v="2"/>
    <s v="Økologisk"/>
    <x v="2"/>
    <s v="Pil &amp; poppel"/>
    <n v="8.2800264987742279E-3"/>
    <n v="0.16115758892736179"/>
    <n v="0"/>
    <n v="0.16115758892736179"/>
  </r>
  <r>
    <x v="0"/>
    <x v="13"/>
    <x v="2"/>
    <s v="Økologisk"/>
    <x v="2"/>
    <s v="Græs"/>
    <n v="0.30623896718703902"/>
    <n v="5.912249500512976"/>
    <n v="0"/>
    <n v="5.91224950051297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47797.19055741493"/>
    <n v="1036058.3058074786"/>
    <n v="457290.2347257759"/>
    <n v="457290.2347257759"/>
  </r>
  <r>
    <x v="1"/>
    <x v="1"/>
    <x v="1"/>
    <s v="Konventionel"/>
    <x v="0"/>
    <s v="Halm"/>
    <n v="42491.692285256802"/>
    <n v="164017.93222109127"/>
    <n v="65846.294886771793"/>
    <n v="65846.294886771793"/>
  </r>
  <r>
    <x v="1"/>
    <x v="2"/>
    <x v="1"/>
    <s v="Konventionel"/>
    <x v="0"/>
    <s v="Halm"/>
    <n v="33623.8608518119"/>
    <n v="147944.98774797237"/>
    <n v="106853.26740097304"/>
    <n v="106853.26740097304"/>
  </r>
  <r>
    <x v="1"/>
    <x v="3"/>
    <x v="1"/>
    <s v="Konventionel"/>
    <x v="0"/>
    <s v="Græs"/>
    <n v="48034.086931159858"/>
    <n v="2383451.3935241522"/>
    <n v="0"/>
    <n v="2383451.3935241522"/>
  </r>
  <r>
    <x v="1"/>
    <x v="4"/>
    <x v="1"/>
    <s v="Konventionel"/>
    <x v="0"/>
    <s v="Grøntsager"/>
    <n v="14779.719055741494"/>
    <n v="306679.17040663603"/>
    <n v="0"/>
    <n v="306679.17040663603"/>
  </r>
  <r>
    <x v="1"/>
    <x v="5"/>
    <x v="1"/>
    <s v="Konventionel"/>
    <x v="0"/>
    <s v="Kartofler"/>
    <n v="11084.789291806121"/>
    <n v="470780.97166840063"/>
    <n v="0"/>
    <n v="470780.97166840063"/>
  </r>
  <r>
    <x v="1"/>
    <x v="6"/>
    <x v="1"/>
    <s v="Konventionel"/>
    <x v="0"/>
    <s v="Roer"/>
    <n v="1847.4648819676868"/>
    <n v="150113.41518555352"/>
    <n v="0"/>
    <n v="150113.41518555352"/>
  </r>
  <r>
    <x v="1"/>
    <x v="7"/>
    <x v="1"/>
    <s v="Konventionel"/>
    <x v="0"/>
    <s v="Majs"/>
    <n v="18474.648819676866"/>
    <n v="822306.61896381737"/>
    <n v="0"/>
    <n v="822306.61896381737"/>
  </r>
  <r>
    <x v="1"/>
    <x v="8"/>
    <x v="1"/>
    <s v="Konventionel"/>
    <x v="0"/>
    <s v="Frugt"/>
    <n v="3694.9297639353736"/>
    <n v="31369.953695811328"/>
    <n v="0"/>
    <n v="31369.953695811328"/>
  </r>
  <r>
    <x v="1"/>
    <x v="9"/>
    <x v="1"/>
    <s v="Konventionel"/>
    <x v="0"/>
    <s v="Øvrige"/>
    <n v="10334.22720484927"/>
    <n v="307918.04999645095"/>
    <n v="0"/>
    <n v="307918.04999645095"/>
  </r>
  <r>
    <x v="1"/>
    <x v="10"/>
    <x v="1"/>
    <s v="Konventionel"/>
    <x v="0"/>
    <s v="Halm"/>
    <n v="14925.782330697086"/>
    <n v="213272.42544984157"/>
    <n v="47911.761281537649"/>
    <n v="47911.761281537649"/>
  </r>
  <r>
    <x v="1"/>
    <x v="11"/>
    <x v="1"/>
    <s v="Konventionel"/>
    <x v="0"/>
    <s v="Juletræer"/>
    <n v="2803.3191853889462"/>
    <n v="140165.95926944731"/>
    <n v="0"/>
    <n v="140165.95926944731"/>
  </r>
  <r>
    <x v="1"/>
    <x v="12"/>
    <x v="1"/>
    <s v="Konventionel"/>
    <x v="0"/>
    <s v="Pil &amp; poppel"/>
    <n v="1077.9992614184657"/>
    <n v="26292.664912645509"/>
    <n v="0"/>
    <n v="26292.664912645509"/>
  </r>
  <r>
    <x v="1"/>
    <x v="13"/>
    <x v="1"/>
    <s v="Konventionel"/>
    <x v="0"/>
    <s v="Græs"/>
    <n v="18474.648819676866"/>
    <n v="254765.40722334399"/>
    <n v="0"/>
    <n v="254765.40722334399"/>
  </r>
  <r>
    <x v="1"/>
    <x v="0"/>
    <x v="2"/>
    <s v="Konventionel"/>
    <x v="0"/>
    <s v="Halm"/>
    <n v="100704.76321947954"/>
    <n v="705940.39016855159"/>
    <n v="384384.54244677647"/>
    <n v="384384.54244677647"/>
  </r>
  <r>
    <x v="1"/>
    <x v="1"/>
    <x v="2"/>
    <s v="Konventionel"/>
    <x v="0"/>
    <s v="Halm"/>
    <n v="28449.095609502972"/>
    <n v="109813.50905268149"/>
    <n v="54385.851585730736"/>
    <n v="54385.851585730736"/>
  </r>
  <r>
    <x v="1"/>
    <x v="2"/>
    <x v="2"/>
    <s v="Konventionel"/>
    <x v="0"/>
    <s v="Halm"/>
    <n v="25931.476529015981"/>
    <n v="114098.49672767031"/>
    <n v="101661.76058435427"/>
    <n v="101661.76058435427"/>
  </r>
  <r>
    <x v="1"/>
    <x v="3"/>
    <x v="2"/>
    <s v="Konventionel"/>
    <x v="0"/>
    <s v="Græs"/>
    <n v="22658.571724382895"/>
    <n v="1124318.3289638793"/>
    <n v="0"/>
    <n v="1124318.3289638793"/>
  </r>
  <r>
    <x v="1"/>
    <x v="4"/>
    <x v="2"/>
    <s v="Konventionel"/>
    <x v="0"/>
    <s v="Grøntsager"/>
    <n v="10070.476321947954"/>
    <n v="208962.38368042005"/>
    <n v="0"/>
    <n v="208962.38368042005"/>
  </r>
  <r>
    <x v="1"/>
    <x v="5"/>
    <x v="2"/>
    <s v="Konventionel"/>
    <x v="0"/>
    <s v="Kartofler"/>
    <n v="7552.8572414609653"/>
    <n v="320776.64062014373"/>
    <n v="0"/>
    <n v="320776.64062014373"/>
  </r>
  <r>
    <x v="1"/>
    <x v="6"/>
    <x v="2"/>
    <s v="Konventionel"/>
    <x v="0"/>
    <s v="Roer"/>
    <n v="1258.8095402434942"/>
    <n v="102282.9721953072"/>
    <n v="0"/>
    <n v="102282.9721953072"/>
  </r>
  <r>
    <x v="1"/>
    <x v="7"/>
    <x v="2"/>
    <s v="Konventionel"/>
    <x v="0"/>
    <s v="Majs"/>
    <n v="10070.476321947954"/>
    <n v="448236.90108990343"/>
    <n v="0"/>
    <n v="448236.90108990343"/>
  </r>
  <r>
    <x v="1"/>
    <x v="8"/>
    <x v="2"/>
    <s v="Konventionel"/>
    <x v="0"/>
    <s v="Frugt"/>
    <n v="2517.6190804869884"/>
    <n v="21374.585993334535"/>
    <n v="0"/>
    <n v="21374.585993334535"/>
  </r>
  <r>
    <x v="1"/>
    <x v="9"/>
    <x v="2"/>
    <s v="Konventionel"/>
    <x v="0"/>
    <s v="Øvrige"/>
    <n v="7041.4457798260073"/>
    <n v="209806.5206716526"/>
    <n v="0"/>
    <n v="209806.5206716526"/>
  </r>
  <r>
    <x v="1"/>
    <x v="10"/>
    <x v="2"/>
    <s v="Konventionel"/>
    <x v="0"/>
    <s v="Halm"/>
    <n v="10169.999644847319"/>
    <n v="145317.70884932342"/>
    <n v="40273.198593595385"/>
    <n v="40273.198593595385"/>
  </r>
  <r>
    <x v="1"/>
    <x v="11"/>
    <x v="2"/>
    <s v="Konventionel"/>
    <x v="0"/>
    <s v="Juletræer"/>
    <n v="1910.101225392033"/>
    <n v="95505.061269601661"/>
    <n v="0"/>
    <n v="95505.061269601661"/>
  </r>
  <r>
    <x v="1"/>
    <x v="12"/>
    <x v="2"/>
    <s v="Konventionel"/>
    <x v="0"/>
    <s v="Pil &amp; poppel"/>
    <n v="734.51775343285783"/>
    <n v="17915.067156898975"/>
    <n v="0"/>
    <n v="17915.067156898975"/>
  </r>
  <r>
    <x v="1"/>
    <x v="13"/>
    <x v="2"/>
    <s v="Konventionel"/>
    <x v="0"/>
    <s v="Græs"/>
    <n v="22658.571724382895"/>
    <n v="312461.70407924015"/>
    <n v="0"/>
    <n v="312461.70407924015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63341.653096034977"/>
    <n v="297496.7420961475"/>
    <n v="131307.62454268712"/>
    <n v="131307.62454268712"/>
  </r>
  <r>
    <x v="1"/>
    <x v="1"/>
    <x v="1"/>
    <s v="Økologisk"/>
    <x v="0"/>
    <s v="Halm"/>
    <n v="18210.725265110057"/>
    <n v="40067.237728295149"/>
    <n v="16085.30917948282"/>
    <n v="16085.30917948282"/>
  </r>
  <r>
    <x v="1"/>
    <x v="2"/>
    <x v="1"/>
    <s v="Økologisk"/>
    <x v="0"/>
    <s v="Halm"/>
    <n v="14410.226079347956"/>
    <n v="34872.747112022058"/>
    <n v="25186.841601657932"/>
    <n v="25186.841601657932"/>
  </r>
  <r>
    <x v="1"/>
    <x v="3"/>
    <x v="1"/>
    <s v="Økologisk"/>
    <x v="0"/>
    <s v="Græs"/>
    <n v="20586.037256211366"/>
    <n v="796753.75154950237"/>
    <n v="0"/>
    <n v="796753.75154950237"/>
  </r>
  <r>
    <x v="1"/>
    <x v="4"/>
    <x v="1"/>
    <s v="Økologisk"/>
    <x v="0"/>
    <s v="Grøntsager"/>
    <n v="6334.1653096034979"/>
    <n v="74917.340199335362"/>
    <n v="0"/>
    <n v="74917.340199335362"/>
  </r>
  <r>
    <x v="1"/>
    <x v="5"/>
    <x v="1"/>
    <s v="Økologisk"/>
    <x v="0"/>
    <s v="Kartofler"/>
    <n v="4750.6239822026228"/>
    <n v="115005.06593613786"/>
    <n v="0"/>
    <n v="115005.06593613786"/>
  </r>
  <r>
    <x v="1"/>
    <x v="6"/>
    <x v="1"/>
    <s v="Økologisk"/>
    <x v="0"/>
    <s v="Roer"/>
    <n v="791.77066370043724"/>
    <n v="36670.562852470932"/>
    <n v="0"/>
    <n v="36670.562852470932"/>
  </r>
  <r>
    <x v="1"/>
    <x v="7"/>
    <x v="1"/>
    <s v="Økologisk"/>
    <x v="0"/>
    <s v="Majs"/>
    <n v="7917.7066370043722"/>
    <n v="292506.21160284366"/>
    <n v="0"/>
    <n v="292506.21160284366"/>
  </r>
  <r>
    <x v="1"/>
    <x v="8"/>
    <x v="1"/>
    <s v="Økologisk"/>
    <x v="0"/>
    <s v="Frugt"/>
    <n v="1583.5413274008745"/>
    <n v="7663.2315456910528"/>
    <n v="0"/>
    <n v="7663.2315456910528"/>
  </r>
  <r>
    <x v="1"/>
    <x v="9"/>
    <x v="1"/>
    <s v="Økologisk"/>
    <x v="0"/>
    <s v="Øvrige"/>
    <n v="4428.9545163639732"/>
    <n v="75219.980784847285"/>
    <n v="0"/>
    <n v="75219.980784847285"/>
  </r>
  <r>
    <x v="1"/>
    <x v="10"/>
    <x v="1"/>
    <s v="Økologisk"/>
    <x v="0"/>
    <s v="Halm"/>
    <n v="6396.7638560130372"/>
    <n v="52099.406788461296"/>
    <n v="11704.158827347053"/>
    <n v="11704.158827347053"/>
  </r>
  <r>
    <x v="1"/>
    <x v="11"/>
    <x v="1"/>
    <s v="Økologisk"/>
    <x v="0"/>
    <s v="Juletræer"/>
    <n v="1201.4225080238341"/>
    <n v="34240.541478679275"/>
    <n v="0"/>
    <n v="34240.541478679275"/>
  </r>
  <r>
    <x v="1"/>
    <x v="12"/>
    <x v="1"/>
    <s v="Økologisk"/>
    <x v="0"/>
    <s v="Pil &amp; poppel"/>
    <n v="461.99968346505676"/>
    <n v="6422.9224286605449"/>
    <n v="0"/>
    <n v="6422.9224286605449"/>
  </r>
  <r>
    <x v="1"/>
    <x v="13"/>
    <x v="1"/>
    <s v="Økologisk"/>
    <x v="0"/>
    <s v="Græs"/>
    <n v="7917.7066370043722"/>
    <n v="109185.17452429031"/>
    <n v="0"/>
    <n v="109185.17452429031"/>
  </r>
  <r>
    <x v="1"/>
    <x v="0"/>
    <x v="2"/>
    <s v="Økologisk"/>
    <x v="0"/>
    <s v="Halm"/>
    <n v="100704.76321947954"/>
    <n v="472980.06141292956"/>
    <n v="257537.64343934023"/>
    <n v="257537.64343934023"/>
  </r>
  <r>
    <x v="1"/>
    <x v="1"/>
    <x v="2"/>
    <s v="Økologisk"/>
    <x v="0"/>
    <s v="Halm"/>
    <n v="28449.095609502972"/>
    <n v="62593.700160028442"/>
    <n v="30999.935403866519"/>
    <n v="30999.935403866519"/>
  </r>
  <r>
    <x v="1"/>
    <x v="2"/>
    <x v="2"/>
    <s v="Økologisk"/>
    <x v="0"/>
    <s v="Halm"/>
    <n v="25931.476529015981"/>
    <n v="62754.173200218676"/>
    <n v="55913.968321394852"/>
    <n v="55913.968321394852"/>
  </r>
  <r>
    <x v="1"/>
    <x v="3"/>
    <x v="2"/>
    <s v="Økologisk"/>
    <x v="0"/>
    <s v="Græs"/>
    <n v="22658.571724382895"/>
    <n v="876968.29659182602"/>
    <n v="0"/>
    <n v="876968.29659182602"/>
  </r>
  <r>
    <x v="1"/>
    <x v="4"/>
    <x v="2"/>
    <s v="Økologisk"/>
    <x v="0"/>
    <s v="Grøntsager"/>
    <n v="10070.476321947954"/>
    <n v="119108.55869783941"/>
    <n v="0"/>
    <n v="119108.55869783941"/>
  </r>
  <r>
    <x v="1"/>
    <x v="5"/>
    <x v="2"/>
    <s v="Økologisk"/>
    <x v="0"/>
    <s v="Kartofler"/>
    <n v="7552.8572414609653"/>
    <n v="182842.6851534819"/>
    <n v="0"/>
    <n v="182842.6851534819"/>
  </r>
  <r>
    <x v="1"/>
    <x v="6"/>
    <x v="2"/>
    <s v="Økologisk"/>
    <x v="0"/>
    <s v="Roer"/>
    <n v="1258.8095402434942"/>
    <n v="58301.294151325099"/>
    <n v="0"/>
    <n v="58301.294151325099"/>
  </r>
  <r>
    <x v="1"/>
    <x v="7"/>
    <x v="2"/>
    <s v="Økologisk"/>
    <x v="0"/>
    <s v="Majs"/>
    <n v="10070.476321947954"/>
    <n v="372036.62790461985"/>
    <n v="0"/>
    <n v="372036.62790461985"/>
  </r>
  <r>
    <x v="1"/>
    <x v="8"/>
    <x v="2"/>
    <s v="Økologisk"/>
    <x v="0"/>
    <s v="Frugt"/>
    <n v="2517.6190804869884"/>
    <n v="12183.514016200685"/>
    <n v="0"/>
    <n v="12183.514016200685"/>
  </r>
  <r>
    <x v="1"/>
    <x v="9"/>
    <x v="2"/>
    <s v="Økologisk"/>
    <x v="0"/>
    <s v="Øvrige"/>
    <n v="7041.4457798260073"/>
    <n v="119589.71678284198"/>
    <n v="0"/>
    <n v="119589.71678284198"/>
  </r>
  <r>
    <x v="1"/>
    <x v="10"/>
    <x v="2"/>
    <s v="Økologisk"/>
    <x v="0"/>
    <s v="Halm"/>
    <n v="10169.999644847319"/>
    <n v="82831.094044114347"/>
    <n v="22955.723198349369"/>
    <n v="22955.723198349369"/>
  </r>
  <r>
    <x v="1"/>
    <x v="11"/>
    <x v="2"/>
    <s v="Økologisk"/>
    <x v="0"/>
    <s v="Juletræer"/>
    <n v="1910.101225392033"/>
    <n v="54437.884923672944"/>
    <n v="0"/>
    <n v="54437.884923672944"/>
  </r>
  <r>
    <x v="1"/>
    <x v="12"/>
    <x v="2"/>
    <s v="Økologisk"/>
    <x v="0"/>
    <s v="Pil &amp; poppel"/>
    <n v="734.51775343285783"/>
    <n v="10211.588279432413"/>
    <n v="0"/>
    <n v="10211.588279432413"/>
  </r>
  <r>
    <x v="1"/>
    <x v="13"/>
    <x v="2"/>
    <s v="Økologisk"/>
    <x v="0"/>
    <s v="Græs"/>
    <n v="22658.571724382895"/>
    <n v="312461.70407924015"/>
    <n v="0"/>
    <n v="312461.7040792401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058.345238468457"/>
    <n v="17314.800145996658"/>
    <n v="7642.3199144392747"/>
    <n v="7642.3199144392747"/>
  </r>
  <r>
    <x v="1"/>
    <x v="1"/>
    <x v="1"/>
    <s v="Konventionel"/>
    <x v="1"/>
    <s v="Halm"/>
    <n v="55.660945475510907"/>
    <n v="257.82149944256656"/>
    <n v="103.50447814182274"/>
    <n v="103.50447814182274"/>
  </r>
  <r>
    <x v="1"/>
    <x v="2"/>
    <x v="1"/>
    <s v="Konventionel"/>
    <x v="1"/>
    <s v="Halm"/>
    <n v="224.82325375771026"/>
    <n v="1187.0667798407101"/>
    <n v="857.35898173995304"/>
    <n v="857.35898173995304"/>
  </r>
  <r>
    <x v="1"/>
    <x v="3"/>
    <x v="1"/>
    <s v="Konventionel"/>
    <x v="1"/>
    <s v="Græs"/>
    <n v="661.07456778336234"/>
    <n v="39363.024064092526"/>
    <n v="0"/>
    <n v="39363.024064092526"/>
  </r>
  <r>
    <x v="1"/>
    <x v="4"/>
    <x v="1"/>
    <s v="Konventionel"/>
    <x v="1"/>
    <s v="Grøntsager"/>
    <n v="12.520036390025359"/>
    <n v="311.74890611163141"/>
    <n v="0"/>
    <n v="311.74890611163141"/>
  </r>
  <r>
    <x v="1"/>
    <x v="5"/>
    <x v="1"/>
    <s v="Konventionel"/>
    <x v="1"/>
    <s v="Kartofler"/>
    <n v="21.285207726900612"/>
    <n v="1084.8023011036901"/>
    <n v="0"/>
    <n v="1084.8023011036901"/>
  </r>
  <r>
    <x v="1"/>
    <x v="6"/>
    <x v="1"/>
    <s v="Konventionel"/>
    <x v="1"/>
    <s v="Roer"/>
    <n v="59.466392203805022"/>
    <n v="5798.2395072987674"/>
    <n v="0"/>
    <n v="5798.2395072987674"/>
  </r>
  <r>
    <x v="1"/>
    <x v="7"/>
    <x v="1"/>
    <s v="Konventionel"/>
    <x v="1"/>
    <s v="Majs"/>
    <n v="63.400350767182147"/>
    <n v="3386.3395351767331"/>
    <n v="0"/>
    <n v="3386.3395351767331"/>
  </r>
  <r>
    <x v="1"/>
    <x v="8"/>
    <x v="1"/>
    <s v="Konventionel"/>
    <x v="1"/>
    <s v="Frugt"/>
    <n v="13.676758952114534"/>
    <n v="139.33882020414288"/>
    <n v="0"/>
    <n v="139.33882020414288"/>
  </r>
  <r>
    <x v="1"/>
    <x v="9"/>
    <x v="1"/>
    <s v="Konventionel"/>
    <x v="1"/>
    <s v="Øvrige"/>
    <n v="97.658692306205097"/>
    <n v="3491.7994548468423"/>
    <n v="0"/>
    <n v="3491.7994548468423"/>
  </r>
  <r>
    <x v="1"/>
    <x v="10"/>
    <x v="1"/>
    <s v="Konventionel"/>
    <x v="1"/>
    <s v="Halm"/>
    <n v="708.99747499699004"/>
    <n v="12156.919438877501"/>
    <n v="2731.0582736884057"/>
    <n v="2731.0582736884057"/>
  </r>
  <r>
    <x v="1"/>
    <x v="11"/>
    <x v="1"/>
    <s v="Konventionel"/>
    <x v="1"/>
    <s v="Juletræer"/>
    <n v="21.431403448502294"/>
    <n v="1285.8842069101377"/>
    <n v="0"/>
    <n v="1285.8842069101377"/>
  </r>
  <r>
    <x v="1"/>
    <x v="12"/>
    <x v="1"/>
    <s v="Konventionel"/>
    <x v="1"/>
    <s v="Pil &amp; poppel"/>
    <n v="45.485442530480874"/>
    <n v="1331.2812447945623"/>
    <n v="0"/>
    <n v="1331.2812447945623"/>
  </r>
  <r>
    <x v="1"/>
    <x v="13"/>
    <x v="1"/>
    <s v="Konventionel"/>
    <x v="1"/>
    <s v="Græs"/>
    <n v="1318.2344557118079"/>
    <n v="21814.143773118998"/>
    <n v="0"/>
    <n v="21814.143773118998"/>
  </r>
  <r>
    <x v="1"/>
    <x v="0"/>
    <x v="2"/>
    <s v="Konventionel"/>
    <x v="1"/>
    <s v="Halm"/>
    <n v="3.7348132878940656E-2"/>
    <n v="0.31417249377764878"/>
    <n v="0.17106692286192982"/>
    <n v="0.17106692286192982"/>
  </r>
  <r>
    <x v="1"/>
    <x v="1"/>
    <x v="2"/>
    <s v="Konventionel"/>
    <x v="1"/>
    <s v="Halm"/>
    <n v="1.0099532133558114E-3"/>
    <n v="4.6781032842641177E-3"/>
    <n v="2.3168609501282053E-3"/>
    <n v="2.3168609501282053E-3"/>
  </r>
  <r>
    <x v="1"/>
    <x v="2"/>
    <x v="2"/>
    <s v="Konventionel"/>
    <x v="1"/>
    <s v="Halm"/>
    <n v="4.0793587969073985E-3"/>
    <n v="2.1539014447671066E-2"/>
    <n v="1.9191261872874919E-2"/>
    <n v="1.9191261872874919E-2"/>
  </r>
  <r>
    <x v="1"/>
    <x v="3"/>
    <x v="2"/>
    <s v="Konventionel"/>
    <x v="1"/>
    <s v="Græs"/>
    <n v="1.1995024128620996E-2"/>
    <n v="0.7142317167146085"/>
    <n v="0"/>
    <n v="0.7142317167146085"/>
  </r>
  <r>
    <x v="1"/>
    <x v="4"/>
    <x v="2"/>
    <s v="Konventionel"/>
    <x v="1"/>
    <s v="Grøntsager"/>
    <n v="2.27172766747217E-4"/>
    <n v="5.6566018920057035E-3"/>
    <n v="0"/>
    <n v="5.6566018920057035E-3"/>
  </r>
  <r>
    <x v="1"/>
    <x v="5"/>
    <x v="2"/>
    <s v="Konventionel"/>
    <x v="1"/>
    <s v="Kartofler"/>
    <n v="3.8621449486852974E-4"/>
    <n v="1.9683452382918652E-2"/>
    <n v="0"/>
    <n v="1.9683452382918652E-2"/>
  </r>
  <r>
    <x v="1"/>
    <x v="6"/>
    <x v="2"/>
    <s v="Konventionel"/>
    <x v="1"/>
    <s v="Roer"/>
    <n v="1.079002043171071E-3"/>
    <n v="0.10520753056161153"/>
    <n v="0"/>
    <n v="0.10520753056161153"/>
  </r>
  <r>
    <x v="1"/>
    <x v="7"/>
    <x v="2"/>
    <s v="Konventionel"/>
    <x v="1"/>
    <s v="Majs"/>
    <n v="1.1503826864272908E-3"/>
    <n v="6.1444240047454461E-2"/>
    <n v="0"/>
    <n v="6.1444240047454461E-2"/>
  </r>
  <r>
    <x v="1"/>
    <x v="8"/>
    <x v="2"/>
    <s v="Konventionel"/>
    <x v="1"/>
    <s v="Frugt"/>
    <n v="2.4816119334620677E-4"/>
    <n v="2.5282662378111553E-3"/>
    <n v="0"/>
    <n v="2.5282662378111553E-3"/>
  </r>
  <r>
    <x v="1"/>
    <x v="9"/>
    <x v="2"/>
    <s v="Konventionel"/>
    <x v="1"/>
    <s v="Øvrige"/>
    <n v="1.7719912815741289E-3"/>
    <n v="6.3357782547337677E-2"/>
    <n v="0"/>
    <n v="6.3357782547337677E-2"/>
  </r>
  <r>
    <x v="1"/>
    <x v="10"/>
    <x v="2"/>
    <s v="Konventionel"/>
    <x v="1"/>
    <s v="Halm"/>
    <n v="1.2864572673301218E-2"/>
    <n v="0.220584105191026"/>
    <n v="6.1132449343527386E-2"/>
    <n v="6.1132449343527386E-2"/>
  </r>
  <r>
    <x v="1"/>
    <x v="11"/>
    <x v="2"/>
    <s v="Konventionel"/>
    <x v="1"/>
    <s v="Juletræer"/>
    <n v="3.8886717777840684E-4"/>
    <n v="2.3332030666704411E-2"/>
    <n v="0"/>
    <n v="2.3332030666704411E-2"/>
  </r>
  <r>
    <x v="1"/>
    <x v="12"/>
    <x v="2"/>
    <s v="Konventionel"/>
    <x v="1"/>
    <s v="Pil &amp; poppel"/>
    <n v="8.2532138920963214E-4"/>
    <n v="2.4155747976867283E-2"/>
    <n v="0"/>
    <n v="2.4155747976867283E-2"/>
  </r>
  <r>
    <x v="1"/>
    <x v="13"/>
    <x v="2"/>
    <s v="Konventionel"/>
    <x v="1"/>
    <s v="Græs"/>
    <n v="2.3919017421079283E-2"/>
    <n v="0.39581190028402002"/>
    <n v="0"/>
    <n v="0.39581190028402002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882.14795934362451"/>
    <n v="4971.8211847790417"/>
    <n v="2194.4375754318494"/>
    <n v="2194.4375754318494"/>
  </r>
  <r>
    <x v="1"/>
    <x v="1"/>
    <x v="1"/>
    <s v="Økologisk"/>
    <x v="1"/>
    <s v="Halm"/>
    <n v="23.854690918076102"/>
    <n v="62.982109149541238"/>
    <n v="25.284665374645265"/>
    <n v="25.284665374645265"/>
  </r>
  <r>
    <x v="1"/>
    <x v="2"/>
    <x v="1"/>
    <s v="Økologisk"/>
    <x v="1"/>
    <s v="Halm"/>
    <n v="96.352823039018702"/>
    <n v="279.8085981053103"/>
    <n v="202.09175998156039"/>
    <n v="202.09175998156039"/>
  </r>
  <r>
    <x v="1"/>
    <x v="3"/>
    <x v="1"/>
    <s v="Økologisk"/>
    <x v="1"/>
    <s v="Græs"/>
    <n v="283.31767190715527"/>
    <n v="13158.49661571093"/>
    <n v="0"/>
    <n v="13158.49661571093"/>
  </r>
  <r>
    <x v="1"/>
    <x v="4"/>
    <x v="1"/>
    <s v="Økologisk"/>
    <x v="1"/>
    <s v="Grøntsager"/>
    <n v="5.3657298814394387"/>
    <n v="76.155804207269952"/>
    <n v="0"/>
    <n v="76.155804207269952"/>
  </r>
  <r>
    <x v="1"/>
    <x v="5"/>
    <x v="1"/>
    <s v="Økologisk"/>
    <x v="1"/>
    <s v="Kartofler"/>
    <n v="9.1222318829574061"/>
    <n v="265.0017049839015"/>
    <n v="0"/>
    <n v="265.0017049839015"/>
  </r>
  <r>
    <x v="1"/>
    <x v="6"/>
    <x v="1"/>
    <s v="Økologisk"/>
    <x v="1"/>
    <s v="Roer"/>
    <n v="25.485596658773581"/>
    <n v="1416.4270796401272"/>
    <n v="0"/>
    <n v="1416.4270796401272"/>
  </r>
  <r>
    <x v="1"/>
    <x v="7"/>
    <x v="1"/>
    <s v="Økologisk"/>
    <x v="1"/>
    <s v="Majs"/>
    <n v="27.171578900220926"/>
    <n v="1204.5693489414382"/>
    <n v="0"/>
    <n v="1204.5693489414382"/>
  </r>
  <r>
    <x v="1"/>
    <x v="8"/>
    <x v="1"/>
    <s v="Økologisk"/>
    <x v="1"/>
    <s v="Frugt"/>
    <n v="5.8614681223348013"/>
    <n v="34.03848322129776"/>
    <n v="0"/>
    <n v="34.03848322129776"/>
  </r>
  <r>
    <x v="1"/>
    <x v="9"/>
    <x v="1"/>
    <s v="Økologisk"/>
    <x v="1"/>
    <s v="Øvrige"/>
    <n v="41.8537252740879"/>
    <n v="852.99672396972858"/>
    <n v="0"/>
    <n v="852.99672396972858"/>
  </r>
  <r>
    <x v="1"/>
    <x v="10"/>
    <x v="1"/>
    <s v="Økologisk"/>
    <x v="1"/>
    <s v="Halm"/>
    <n v="303.85606071299577"/>
    <n v="2969.7617486400759"/>
    <n v="667.15852114388201"/>
    <n v="667.15852114388201"/>
  </r>
  <r>
    <x v="1"/>
    <x v="11"/>
    <x v="1"/>
    <s v="Økologisk"/>
    <x v="1"/>
    <s v="Juletræer"/>
    <n v="9.1848871922152693"/>
    <n v="314.12314197376219"/>
    <n v="0"/>
    <n v="314.12314197376219"/>
  </r>
  <r>
    <x v="1"/>
    <x v="12"/>
    <x v="1"/>
    <s v="Økologisk"/>
    <x v="1"/>
    <s v="Pil &amp; poppel"/>
    <n v="19.493761084491805"/>
    <n v="325.21298979981452"/>
    <n v="0"/>
    <n v="325.21298979981452"/>
  </r>
  <r>
    <x v="1"/>
    <x v="13"/>
    <x v="1"/>
    <s v="Økologisk"/>
    <x v="1"/>
    <s v="Græs"/>
    <n v="564.95762387648915"/>
    <n v="9348.9187599081433"/>
    <n v="0"/>
    <n v="9348.9187599081433"/>
  </r>
  <r>
    <x v="1"/>
    <x v="0"/>
    <x v="2"/>
    <s v="Økologisk"/>
    <x v="1"/>
    <s v="Halm"/>
    <n v="3.7348132878940656E-2"/>
    <n v="0.21049557083102469"/>
    <n v="0.11461483831749297"/>
    <n v="0.11461483831749297"/>
  </r>
  <r>
    <x v="1"/>
    <x v="1"/>
    <x v="2"/>
    <s v="Økologisk"/>
    <x v="1"/>
    <s v="Halm"/>
    <n v="1.0099532133558114E-3"/>
    <n v="2.6665188720305473E-3"/>
    <n v="1.3206107415730769E-3"/>
    <n v="1.3206107415730769E-3"/>
  </r>
  <r>
    <x v="1"/>
    <x v="2"/>
    <x v="2"/>
    <s v="Økologisk"/>
    <x v="1"/>
    <s v="Halm"/>
    <n v="4.0793587969073985E-3"/>
    <n v="1.1846457946219087E-2"/>
    <n v="1.0555194030081205E-2"/>
    <n v="1.0555194030081205E-2"/>
  </r>
  <r>
    <x v="1"/>
    <x v="3"/>
    <x v="2"/>
    <s v="Økologisk"/>
    <x v="1"/>
    <s v="Græs"/>
    <n v="1.1995024128620996E-2"/>
    <n v="0.55710073903739477"/>
    <n v="0"/>
    <n v="0.55710073903739477"/>
  </r>
  <r>
    <x v="1"/>
    <x v="4"/>
    <x v="2"/>
    <s v="Økologisk"/>
    <x v="1"/>
    <s v="Grøntsager"/>
    <n v="2.27172766747217E-4"/>
    <n v="3.2242630784432508E-3"/>
    <n v="0"/>
    <n v="3.2242630784432508E-3"/>
  </r>
  <r>
    <x v="1"/>
    <x v="5"/>
    <x v="2"/>
    <s v="Økologisk"/>
    <x v="1"/>
    <s v="Kartofler"/>
    <n v="3.8621449486852974E-4"/>
    <n v="1.1219567858263632E-2"/>
    <n v="0"/>
    <n v="1.1219567858263632E-2"/>
  </r>
  <r>
    <x v="1"/>
    <x v="6"/>
    <x v="2"/>
    <s v="Økologisk"/>
    <x v="1"/>
    <s v="Roer"/>
    <n v="1.079002043171071E-3"/>
    <n v="5.9968292420118564E-2"/>
    <n v="0"/>
    <n v="5.9968292420118564E-2"/>
  </r>
  <r>
    <x v="1"/>
    <x v="7"/>
    <x v="2"/>
    <s v="Økologisk"/>
    <x v="1"/>
    <s v="Majs"/>
    <n v="1.1503826864272908E-3"/>
    <n v="5.0998719239387202E-2"/>
    <n v="0"/>
    <n v="5.0998719239387202E-2"/>
  </r>
  <r>
    <x v="1"/>
    <x v="8"/>
    <x v="2"/>
    <s v="Økologisk"/>
    <x v="1"/>
    <s v="Frugt"/>
    <n v="2.4816119334620677E-4"/>
    <n v="1.4411117555523582E-3"/>
    <n v="0"/>
    <n v="1.4411117555523582E-3"/>
  </r>
  <r>
    <x v="1"/>
    <x v="9"/>
    <x v="2"/>
    <s v="Økologisk"/>
    <x v="1"/>
    <s v="Øvrige"/>
    <n v="1.7719912815741289E-3"/>
    <n v="3.6113936051982473E-2"/>
    <n v="0"/>
    <n v="3.6113936051982473E-2"/>
  </r>
  <r>
    <x v="1"/>
    <x v="10"/>
    <x v="2"/>
    <s v="Økologisk"/>
    <x v="1"/>
    <s v="Halm"/>
    <n v="1.2864572673301218E-2"/>
    <n v="0.12573293995888482"/>
    <n v="3.4845496125810609E-2"/>
    <n v="3.4845496125810609E-2"/>
  </r>
  <r>
    <x v="1"/>
    <x v="11"/>
    <x v="2"/>
    <s v="Økologisk"/>
    <x v="1"/>
    <s v="Juletræer"/>
    <n v="3.8886717777840684E-4"/>
    <n v="1.3299257480021512E-2"/>
    <n v="0"/>
    <n v="1.3299257480021512E-2"/>
  </r>
  <r>
    <x v="1"/>
    <x v="12"/>
    <x v="2"/>
    <s v="Økologisk"/>
    <x v="1"/>
    <s v="Pil &amp; poppel"/>
    <n v="8.2532138920963214E-4"/>
    <n v="1.376877634681435E-2"/>
    <n v="0"/>
    <n v="1.376877634681435E-2"/>
  </r>
  <r>
    <x v="1"/>
    <x v="13"/>
    <x v="2"/>
    <s v="Økologisk"/>
    <x v="1"/>
    <s v="Græs"/>
    <n v="2.3919017421079283E-2"/>
    <n v="0.39581190028402002"/>
    <n v="0"/>
    <n v="0.39581190028402002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3.7027113919355294E-2"/>
    <n v="0.36338409600455279"/>
    <n v="0.16038865537400954"/>
    <n v="0.16038865537400954"/>
  </r>
  <r>
    <x v="1"/>
    <x v="1"/>
    <x v="1"/>
    <s v="Konventionel"/>
    <x v="2"/>
    <s v="Halm"/>
    <n v="6.7253448927833304E-4"/>
    <n v="3.6343763800601118E-3"/>
    <n v="1.4590491149978238E-3"/>
    <n v="1.4590491149978238E-3"/>
  </r>
  <r>
    <x v="1"/>
    <x v="2"/>
    <x v="1"/>
    <s v="Konventionel"/>
    <x v="2"/>
    <s v="Halm"/>
    <n v="3.2851736129046157E-3"/>
    <n v="2.0236669455492434E-2"/>
    <n v="1.4615934514229413E-2"/>
    <n v="1.4615934514229413E-2"/>
  </r>
  <r>
    <x v="1"/>
    <x v="3"/>
    <x v="1"/>
    <s v="Konventionel"/>
    <x v="2"/>
    <s v="Græs"/>
    <n v="2.4141380399768712E-2"/>
    <n v="1.677053413611133"/>
    <n v="0"/>
    <n v="1.677053413611133"/>
  </r>
  <r>
    <x v="1"/>
    <x v="4"/>
    <x v="1"/>
    <s v="Konventionel"/>
    <x v="2"/>
    <s v="Grøntsager"/>
    <n v="1.1362379471386713E-4"/>
    <n v="3.3007712364378399E-3"/>
    <n v="0"/>
    <n v="3.3007712364378399E-3"/>
  </r>
  <r>
    <x v="1"/>
    <x v="5"/>
    <x v="1"/>
    <s v="Konventionel"/>
    <x v="2"/>
    <s v="Kartofler"/>
    <n v="6.4764207543260431E-4"/>
    <n v="3.850831807035196E-2"/>
    <n v="0"/>
    <n v="3.850831807035196E-2"/>
  </r>
  <r>
    <x v="1"/>
    <x v="6"/>
    <x v="1"/>
    <s v="Konventionel"/>
    <x v="2"/>
    <s v="Roer"/>
    <n v="7.4581528668985083E-4"/>
    <n v="8.4840384910975619E-2"/>
    <n v="0"/>
    <n v="8.4840384910975619E-2"/>
  </r>
  <r>
    <x v="1"/>
    <x v="7"/>
    <x v="1"/>
    <s v="Konventionel"/>
    <x v="2"/>
    <s v="Majs"/>
    <n v="7.6604739928526388E-4"/>
    <n v="4.7735477639061934E-2"/>
    <n v="0"/>
    <n v="4.7735477639061934E-2"/>
  </r>
  <r>
    <x v="1"/>
    <x v="8"/>
    <x v="1"/>
    <s v="Konventionel"/>
    <x v="2"/>
    <s v="Frugt"/>
    <n v="2.7797981183837455E-4"/>
    <n v="3.3040680435109204E-3"/>
    <n v="0"/>
    <n v="3.3040680435109204E-3"/>
  </r>
  <r>
    <x v="1"/>
    <x v="9"/>
    <x v="1"/>
    <s v="Konventionel"/>
    <x v="2"/>
    <s v="Øvrige"/>
    <n v="1.9849106799870479E-3"/>
    <n v="8.2799201085565641E-2"/>
    <n v="0"/>
    <n v="8.2799201085565641E-2"/>
  </r>
  <r>
    <x v="1"/>
    <x v="10"/>
    <x v="1"/>
    <s v="Konventionel"/>
    <x v="2"/>
    <s v="Halm"/>
    <n v="1.8575146504759429E-2"/>
    <n v="0.37158475479118419"/>
    <n v="8.3476708392388882E-2"/>
    <n v="8.3476708392388882E-2"/>
  </r>
  <r>
    <x v="1"/>
    <x v="11"/>
    <x v="1"/>
    <s v="Konventionel"/>
    <x v="2"/>
    <s v="Juletræer"/>
    <n v="4.3559278326872034E-4"/>
    <n v="3.0491494828810424E-2"/>
    <n v="0"/>
    <n v="3.0491494828810424E-2"/>
  </r>
  <r>
    <x v="1"/>
    <x v="12"/>
    <x v="1"/>
    <s v="Konventionel"/>
    <x v="2"/>
    <s v="Pil &amp; poppel"/>
    <n v="1.328740612923937E-3"/>
    <n v="4.5371630685207602E-2"/>
    <n v="0"/>
    <n v="4.5371630685207602E-2"/>
  </r>
  <r>
    <x v="1"/>
    <x v="13"/>
    <x v="1"/>
    <s v="Konventionel"/>
    <x v="2"/>
    <s v="Græs"/>
    <n v="4.6208739632616271E-2"/>
    <n v="0.89210592734728977"/>
    <n v="0"/>
    <n v="0.89210592734728977"/>
  </r>
  <r>
    <x v="1"/>
    <x v="0"/>
    <x v="2"/>
    <s v="Konventionel"/>
    <x v="2"/>
    <s v="Halm"/>
    <n v="2.6447938513825212E-2"/>
    <n v="0.25956006857468061"/>
    <n v="0.14133045733891361"/>
    <n v="0.14133045733891361"/>
  </r>
  <r>
    <x v="1"/>
    <x v="1"/>
    <x v="2"/>
    <s v="Konventionel"/>
    <x v="2"/>
    <s v="Halm"/>
    <n v="4.8038177805595223E-4"/>
    <n v="2.5959831286143662E-3"/>
    <n v="1.2856774578084967E-3"/>
    <n v="1.2856774578084967E-3"/>
  </r>
  <r>
    <x v="1"/>
    <x v="2"/>
    <x v="2"/>
    <s v="Konventionel"/>
    <x v="2"/>
    <s v="Halm"/>
    <n v="2.346552580646154E-3"/>
    <n v="1.445476389678031E-2"/>
    <n v="1.2879194632031256E-2"/>
    <n v="1.2879194632031256E-2"/>
  </r>
  <r>
    <x v="1"/>
    <x v="3"/>
    <x v="2"/>
    <s v="Konventionel"/>
    <x v="2"/>
    <s v="Græs"/>
    <n v="1.724384314269194E-2"/>
    <n v="1.1978952954365236"/>
    <n v="0"/>
    <n v="1.1978952954365236"/>
  </r>
  <r>
    <x v="1"/>
    <x v="4"/>
    <x v="2"/>
    <s v="Konventionel"/>
    <x v="2"/>
    <s v="Grøntsager"/>
    <n v="8.1159853367047952E-5"/>
    <n v="2.3576937403127431E-3"/>
    <n v="0"/>
    <n v="2.3576937403127431E-3"/>
  </r>
  <r>
    <x v="1"/>
    <x v="5"/>
    <x v="2"/>
    <s v="Konventionel"/>
    <x v="2"/>
    <s v="Kartofler"/>
    <n v="4.6260148245186024E-4"/>
    <n v="2.7505941478822828E-2"/>
    <n v="0"/>
    <n v="2.7505941478822828E-2"/>
  </r>
  <r>
    <x v="1"/>
    <x v="6"/>
    <x v="2"/>
    <s v="Konventionel"/>
    <x v="2"/>
    <s v="Roer"/>
    <n v="5.3272520477846486E-4"/>
    <n v="6.060027493641116E-2"/>
    <n v="0"/>
    <n v="6.060027493641116E-2"/>
  </r>
  <r>
    <x v="1"/>
    <x v="7"/>
    <x v="2"/>
    <s v="Konventionel"/>
    <x v="2"/>
    <s v="Majs"/>
    <n v="5.471767137751885E-4"/>
    <n v="3.4096769742187102E-2"/>
    <n v="0"/>
    <n v="3.4096769742187102E-2"/>
  </r>
  <r>
    <x v="1"/>
    <x v="8"/>
    <x v="2"/>
    <s v="Konventionel"/>
    <x v="2"/>
    <s v="Frugt"/>
    <n v="1.9855700845598185E-4"/>
    <n v="2.3600486025078006E-3"/>
    <n v="0"/>
    <n v="2.3600486025078006E-3"/>
  </r>
  <r>
    <x v="1"/>
    <x v="9"/>
    <x v="2"/>
    <s v="Konventionel"/>
    <x v="2"/>
    <s v="Øvrige"/>
    <n v="1.4177933428478914E-3"/>
    <n v="5.9142286489689749E-2"/>
    <n v="0"/>
    <n v="5.9142286489689749E-2"/>
  </r>
  <r>
    <x v="1"/>
    <x v="10"/>
    <x v="2"/>
    <s v="Konventionel"/>
    <x v="2"/>
    <s v="Halm"/>
    <n v="1.3267961789113878E-2"/>
    <n v="0.26541768199370303"/>
    <n v="7.3557580158847335E-2"/>
    <n v="7.3557580158847335E-2"/>
  </r>
  <r>
    <x v="1"/>
    <x v="11"/>
    <x v="2"/>
    <s v="Konventionel"/>
    <x v="2"/>
    <s v="Juletræer"/>
    <n v="3.1113770233480025E-4"/>
    <n v="2.1779639163436018E-2"/>
    <n v="0"/>
    <n v="2.1779639163436018E-2"/>
  </r>
  <r>
    <x v="1"/>
    <x v="12"/>
    <x v="2"/>
    <s v="Konventionel"/>
    <x v="2"/>
    <s v="Pil &amp; poppel"/>
    <n v="9.4910043780281215E-4"/>
    <n v="3.2408307632291147E-2"/>
    <n v="0"/>
    <n v="3.2408307632291147E-2"/>
  </r>
  <r>
    <x v="1"/>
    <x v="13"/>
    <x v="2"/>
    <s v="Konventionel"/>
    <x v="2"/>
    <s v="Græs"/>
    <n v="3.3006242594725912E-2"/>
    <n v="0.6372185195337785"/>
    <n v="0"/>
    <n v="0.6372185195337785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.5868763108295127E-2"/>
    <n v="0.10434314756702162"/>
    <n v="4.6054456757394169E-2"/>
    <n v="4.6054456757394169E-2"/>
  </r>
  <r>
    <x v="1"/>
    <x v="1"/>
    <x v="1"/>
    <s v="Økologisk"/>
    <x v="2"/>
    <s v="Halm"/>
    <n v="2.8822906683357132E-4"/>
    <n v="8.8782622998611303E-4"/>
    <n v="3.5642485523518274E-4"/>
    <n v="3.5642485523518274E-4"/>
  </r>
  <r>
    <x v="1"/>
    <x v="2"/>
    <x v="1"/>
    <s v="Økologisk"/>
    <x v="2"/>
    <s v="Halm"/>
    <n v="1.4079315483876923E-3"/>
    <n v="4.7700720859375021E-3"/>
    <n v="3.4451845640683615E-3"/>
    <n v="3.4451845640683615E-3"/>
  </r>
  <r>
    <x v="1"/>
    <x v="3"/>
    <x v="1"/>
    <s v="Økologisk"/>
    <x v="2"/>
    <s v="Græs"/>
    <n v="1.0346305885615165E-2"/>
    <n v="0.56061499826429306"/>
    <n v="0"/>
    <n v="0.56061499826429306"/>
  </r>
  <r>
    <x v="1"/>
    <x v="4"/>
    <x v="1"/>
    <s v="Økologisk"/>
    <x v="2"/>
    <s v="Grøntsager"/>
    <n v="4.8695912020228768E-5"/>
    <n v="8.063312591869579E-4"/>
    <n v="0"/>
    <n v="8.063312591869579E-4"/>
  </r>
  <r>
    <x v="1"/>
    <x v="5"/>
    <x v="1"/>
    <s v="Økologisk"/>
    <x v="2"/>
    <s v="Kartofler"/>
    <n v="2.7756088947111617E-4"/>
    <n v="9.4070319857574077E-3"/>
    <n v="0"/>
    <n v="9.4070319857574077E-3"/>
  </r>
  <r>
    <x v="1"/>
    <x v="6"/>
    <x v="1"/>
    <s v="Økologisk"/>
    <x v="2"/>
    <s v="Roer"/>
    <n v="3.1963512286707895E-4"/>
    <n v="2.0725294028252614E-2"/>
    <n v="0"/>
    <n v="2.0725294028252614E-2"/>
  </r>
  <r>
    <x v="1"/>
    <x v="7"/>
    <x v="1"/>
    <s v="Økologisk"/>
    <x v="2"/>
    <s v="Majs"/>
    <n v="3.2830602826511312E-4"/>
    <n v="1.6980191331609173E-2"/>
    <n v="0"/>
    <n v="1.6980191331609173E-2"/>
  </r>
  <r>
    <x v="1"/>
    <x v="8"/>
    <x v="1"/>
    <s v="Økologisk"/>
    <x v="2"/>
    <s v="Frugt"/>
    <n v="1.1913420507358911E-4"/>
    <n v="8.0713662205766749E-4"/>
    <n v="0"/>
    <n v="8.0713662205766749E-4"/>
  </r>
  <r>
    <x v="1"/>
    <x v="9"/>
    <x v="1"/>
    <s v="Økologisk"/>
    <x v="2"/>
    <s v="Øvrige"/>
    <n v="8.5067600570873478E-4"/>
    <n v="2.0226661979473891E-2"/>
    <n v="0"/>
    <n v="2.0226661979473891E-2"/>
  </r>
  <r>
    <x v="1"/>
    <x v="10"/>
    <x v="1"/>
    <s v="Økologisk"/>
    <x v="2"/>
    <s v="Halm"/>
    <n v="7.9607770734683274E-3"/>
    <n v="9.0772847241846422E-2"/>
    <n v="2.0392167335854999E-2"/>
    <n v="2.0392167335854999E-2"/>
  </r>
  <r>
    <x v="1"/>
    <x v="11"/>
    <x v="1"/>
    <s v="Økologisk"/>
    <x v="2"/>
    <s v="Juletræer"/>
    <n v="1.8668262140088016E-4"/>
    <n v="7.4486365938951186E-3"/>
    <n v="0"/>
    <n v="7.4486365938951186E-3"/>
  </r>
  <r>
    <x v="1"/>
    <x v="12"/>
    <x v="1"/>
    <s v="Økologisk"/>
    <x v="2"/>
    <s v="Pil &amp; poppel"/>
    <n v="5.6946026268168721E-4"/>
    <n v="1.1083641210243571E-2"/>
    <n v="0"/>
    <n v="1.1083641210243571E-2"/>
  </r>
  <r>
    <x v="1"/>
    <x v="13"/>
    <x v="1"/>
    <s v="Økologisk"/>
    <x v="2"/>
    <s v="Græs"/>
    <n v="1.9803745556835544E-2"/>
    <n v="0.38233111172026701"/>
    <n v="0"/>
    <n v="0.38233111172026701"/>
  </r>
  <r>
    <x v="1"/>
    <x v="0"/>
    <x v="2"/>
    <s v="Økologisk"/>
    <x v="2"/>
    <s v="Halm"/>
    <n v="2.6447938513825212E-2"/>
    <n v="0.17390524594503604"/>
    <n v="9.4691406417072119E-2"/>
    <n v="9.4691406417072119E-2"/>
  </r>
  <r>
    <x v="1"/>
    <x v="1"/>
    <x v="2"/>
    <s v="Økologisk"/>
    <x v="2"/>
    <s v="Halm"/>
    <n v="4.8038177805595223E-4"/>
    <n v="1.4797103833101887E-3"/>
    <n v="7.3283615095084292E-4"/>
    <n v="7.3283615095084292E-4"/>
  </r>
  <r>
    <x v="1"/>
    <x v="2"/>
    <x v="2"/>
    <s v="Økologisk"/>
    <x v="2"/>
    <s v="Halm"/>
    <n v="2.346552580646154E-3"/>
    <n v="7.9501201432291713E-3"/>
    <n v="7.0835570476171913E-3"/>
    <n v="7.0835570476171913E-3"/>
  </r>
  <r>
    <x v="1"/>
    <x v="3"/>
    <x v="2"/>
    <s v="Økologisk"/>
    <x v="2"/>
    <s v="Græs"/>
    <n v="1.724384314269194E-2"/>
    <n v="0.93435833044048844"/>
    <n v="0"/>
    <n v="0.93435833044048844"/>
  </r>
  <r>
    <x v="1"/>
    <x v="4"/>
    <x v="2"/>
    <s v="Økologisk"/>
    <x v="2"/>
    <s v="Grøntsager"/>
    <n v="8.1159853367047952E-5"/>
    <n v="1.3438854319782634E-3"/>
    <n v="0"/>
    <n v="1.3438854319782634E-3"/>
  </r>
  <r>
    <x v="1"/>
    <x v="5"/>
    <x v="2"/>
    <s v="Økologisk"/>
    <x v="2"/>
    <s v="Kartofler"/>
    <n v="4.6260148245186024E-4"/>
    <n v="1.5678386642929015E-2"/>
    <n v="0"/>
    <n v="1.5678386642929015E-2"/>
  </r>
  <r>
    <x v="1"/>
    <x v="6"/>
    <x v="2"/>
    <s v="Økologisk"/>
    <x v="2"/>
    <s v="Roer"/>
    <n v="5.3272520477846486E-4"/>
    <n v="3.4542156713754359E-2"/>
    <n v="0"/>
    <n v="3.4542156713754359E-2"/>
  </r>
  <r>
    <x v="1"/>
    <x v="7"/>
    <x v="2"/>
    <s v="Økologisk"/>
    <x v="2"/>
    <s v="Majs"/>
    <n v="5.471767137751885E-4"/>
    <n v="2.8300318886015287E-2"/>
    <n v="0"/>
    <n v="2.8300318886015287E-2"/>
  </r>
  <r>
    <x v="1"/>
    <x v="8"/>
    <x v="2"/>
    <s v="Økologisk"/>
    <x v="2"/>
    <s v="Frugt"/>
    <n v="1.9855700845598185E-4"/>
    <n v="1.3452277034294465E-3"/>
    <n v="0"/>
    <n v="1.3452277034294465E-3"/>
  </r>
  <r>
    <x v="1"/>
    <x v="9"/>
    <x v="2"/>
    <s v="Økologisk"/>
    <x v="2"/>
    <s v="Øvrige"/>
    <n v="1.4177933428478914E-3"/>
    <n v="3.3711103299123156E-2"/>
    <n v="0"/>
    <n v="3.3711103299123156E-2"/>
  </r>
  <r>
    <x v="1"/>
    <x v="10"/>
    <x v="2"/>
    <s v="Økologisk"/>
    <x v="2"/>
    <s v="Halm"/>
    <n v="1.3267961789113878E-2"/>
    <n v="0.1512880787364107"/>
    <n v="4.1927820690542981E-2"/>
    <n v="4.1927820690542981E-2"/>
  </r>
  <r>
    <x v="1"/>
    <x v="11"/>
    <x v="2"/>
    <s v="Økologisk"/>
    <x v="2"/>
    <s v="Juletræer"/>
    <n v="3.1113770233480025E-4"/>
    <n v="1.241439432315853E-2"/>
    <n v="0"/>
    <n v="1.241439432315853E-2"/>
  </r>
  <r>
    <x v="1"/>
    <x v="12"/>
    <x v="2"/>
    <s v="Økologisk"/>
    <x v="2"/>
    <s v="Pil &amp; poppel"/>
    <n v="9.4910043780281215E-4"/>
    <n v="1.8472735350405951E-2"/>
    <n v="0"/>
    <n v="1.8472735350405951E-2"/>
  </r>
  <r>
    <x v="1"/>
    <x v="13"/>
    <x v="2"/>
    <s v="Økologisk"/>
    <x v="2"/>
    <s v="Græs"/>
    <n v="3.3006242594725912E-2"/>
    <n v="0.6372185195337785"/>
    <n v="0"/>
    <n v="0.63721851953377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561269.4761999724"/>
  </r>
  <r>
    <x v="1"/>
    <x v="0"/>
    <x v="1"/>
    <n v="679900.90308057657"/>
  </r>
  <r>
    <x v="2"/>
    <x v="0"/>
    <x v="1"/>
    <n v="611488.80572798639"/>
  </r>
  <r>
    <x v="3"/>
    <x v="0"/>
    <x v="1"/>
    <n v="13033560.764952054"/>
  </r>
  <r>
    <x v="4"/>
    <x v="0"/>
    <x v="1"/>
    <n v="1389473.3777842107"/>
  </r>
  <r>
    <x v="5"/>
    <x v="0"/>
    <x v="1"/>
    <n v="1991290.2581626636"/>
  </r>
  <r>
    <x v="6"/>
    <x v="0"/>
    <x v="1"/>
    <n v="618312.90012796305"/>
  </r>
  <r>
    <x v="7"/>
    <x v="0"/>
    <x v="1"/>
    <n v="3911198.5394176375"/>
  </r>
  <r>
    <x v="8"/>
    <x v="0"/>
    <x v="1"/>
    <n v="129276.58076711251"/>
  </r>
  <r>
    <x v="9"/>
    <x v="0"/>
    <x v="1"/>
    <n v="1306243.4433962547"/>
  </r>
  <r>
    <x v="10"/>
    <x v="0"/>
    <x v="1"/>
    <n v="926499.36509059242"/>
  </r>
  <r>
    <x v="11"/>
    <x v="0"/>
    <x v="1"/>
    <n v="595525.47886913677"/>
  </r>
  <r>
    <x v="12"/>
    <x v="0"/>
    <x v="1"/>
    <n v="124648.5815119847"/>
  </r>
  <r>
    <x v="0"/>
    <x v="0"/>
    <x v="2"/>
    <n v="3504131.9697836237"/>
  </r>
  <r>
    <x v="1"/>
    <x v="0"/>
    <x v="2"/>
    <n v="512449.0981881597"/>
  </r>
  <r>
    <x v="2"/>
    <x v="0"/>
    <x v="2"/>
    <n v="525662.49270451744"/>
  </r>
  <r>
    <x v="3"/>
    <x v="0"/>
    <x v="2"/>
    <n v="7806013.0843895487"/>
  </r>
  <r>
    <x v="4"/>
    <x v="0"/>
    <x v="2"/>
    <n v="1076409.0953461644"/>
  </r>
  <r>
    <x v="5"/>
    <x v="0"/>
    <x v="2"/>
    <n v="1496919.3793012851"/>
  </r>
  <r>
    <x v="6"/>
    <x v="0"/>
    <x v="2"/>
    <n v="477307.40969257313"/>
  </r>
  <r>
    <x v="7"/>
    <x v="0"/>
    <x v="2"/>
    <n v="2438121.5770907253"/>
  </r>
  <r>
    <x v="8"/>
    <x v="0"/>
    <x v="2"/>
    <n v="99745.33232665222"/>
  </r>
  <r>
    <x v="9"/>
    <x v="0"/>
    <x v="2"/>
    <n v="979071.82930248126"/>
  </r>
  <r>
    <x v="10"/>
    <x v="0"/>
    <x v="2"/>
    <n v="678133.0288987807"/>
  </r>
  <r>
    <x v="11"/>
    <x v="0"/>
    <x v="2"/>
    <n v="445678.82311442285"/>
  </r>
  <r>
    <x v="12"/>
    <x v="0"/>
    <x v="2"/>
    <n v="83602.1910517723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453462.7708228838"/>
  </r>
  <r>
    <x v="1"/>
    <x v="1"/>
    <x v="1"/>
    <n v="219123.20850195418"/>
  </r>
  <r>
    <x v="2"/>
    <x v="1"/>
    <x v="1"/>
    <n v="197553.12898229909"/>
  </r>
  <r>
    <x v="3"/>
    <x v="1"/>
    <x v="1"/>
    <n v="3889048.5773336194"/>
  </r>
  <r>
    <x v="4"/>
    <x v="1"/>
    <x v="1"/>
    <n v="452009.50532141351"/>
  </r>
  <r>
    <x v="5"/>
    <x v="1"/>
    <x v="1"/>
    <n v="629409.67357184645"/>
  </r>
  <r>
    <x v="6"/>
    <x v="1"/>
    <x v="1"/>
    <n v="207966.66020436856"/>
  </r>
  <r>
    <x v="7"/>
    <x v="1"/>
    <x v="1"/>
    <n v="1200000.8780664324"/>
  </r>
  <r>
    <x v="8"/>
    <x v="1"/>
    <x v="1"/>
    <n v="42029.439455374028"/>
  </r>
  <r>
    <x v="9"/>
    <x v="1"/>
    <x v="1"/>
    <n v="415381.70094496832"/>
  </r>
  <r>
    <x v="10"/>
    <x v="1"/>
    <x v="1"/>
    <n v="300694.90203982888"/>
  </r>
  <r>
    <x v="11"/>
    <x v="1"/>
    <x v="1"/>
    <n v="188679.01735181612"/>
  </r>
  <r>
    <x v="12"/>
    <x v="1"/>
    <x v="1"/>
    <n v="36846.931969416735"/>
  </r>
  <r>
    <x v="0"/>
    <x v="1"/>
    <x v="2"/>
    <n v="1263803.7512143303"/>
  </r>
  <r>
    <x v="1"/>
    <x v="1"/>
    <x v="2"/>
    <n v="184820.54051860346"/>
  </r>
  <r>
    <x v="2"/>
    <x v="1"/>
    <x v="2"/>
    <n v="189586.12196995915"/>
  </r>
  <r>
    <x v="3"/>
    <x v="1"/>
    <x v="2"/>
    <n v="2815303.0196031071"/>
  </r>
  <r>
    <x v="4"/>
    <x v="1"/>
    <x v="2"/>
    <n v="388219.23407538212"/>
  </r>
  <r>
    <x v="5"/>
    <x v="1"/>
    <x v="2"/>
    <n v="539879.99665096425"/>
  </r>
  <r>
    <x v="6"/>
    <x v="1"/>
    <x v="2"/>
    <n v="172146.61258475881"/>
  </r>
  <r>
    <x v="7"/>
    <x v="1"/>
    <x v="2"/>
    <n v="879333.41051066038"/>
  </r>
  <r>
    <x v="8"/>
    <x v="1"/>
    <x v="2"/>
    <n v="35974.29143745116"/>
  </r>
  <r>
    <x v="9"/>
    <x v="1"/>
    <x v="2"/>
    <n v="353112.97272373439"/>
  </r>
  <r>
    <x v="10"/>
    <x v="1"/>
    <x v="2"/>
    <n v="244576.33466221322"/>
  </r>
  <r>
    <x v="11"/>
    <x v="1"/>
    <x v="2"/>
    <n v="160738.91424393514"/>
  </r>
  <r>
    <x v="12"/>
    <x v="1"/>
    <x v="2"/>
    <n v="30151.869827315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96112.1839026022"/>
  </r>
  <r>
    <x v="0"/>
    <x v="2"/>
    <x v="2"/>
    <s v="JB1-10"/>
    <n v="886023.4139275457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3523.81609739771"/>
  </r>
  <r>
    <x v="1"/>
    <x v="2"/>
    <x v="2"/>
    <s v="JB1-10"/>
    <n v="175876.5860724542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3313.545971354491"/>
  </r>
  <r>
    <x v="0"/>
    <s v="Vestdanmark"/>
    <x v="4"/>
    <x v="2"/>
    <n v="31184.283836637289"/>
  </r>
  <r>
    <x v="0"/>
    <s v="Vestdanmark"/>
    <x v="5"/>
    <x v="2"/>
    <n v="112833.229621482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18335.399813490942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55237.148778432362"/>
  </r>
  <r>
    <x v="0"/>
    <s v="Østdanmark"/>
    <x v="4"/>
    <x v="2"/>
    <n v="27206.356861018925"/>
  </r>
  <r>
    <x v="0"/>
    <s v="Østdanmark"/>
    <x v="5"/>
    <x v="2"/>
    <n v="98440.006733673188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5996.501094221892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5481681.3895722609"/>
  </r>
  <r>
    <x v="1"/>
    <s v="Vestdanmark"/>
    <x v="15"/>
    <x v="1"/>
    <n v="5942609.9974529659"/>
  </r>
  <r>
    <x v="1"/>
    <s v="Vestdanmark"/>
    <x v="16"/>
    <x v="1"/>
    <n v="6026.76110076242"/>
  </r>
  <r>
    <x v="1"/>
    <s v="Vestdanmark"/>
    <x v="17"/>
    <x v="1"/>
    <n v="2559729.3122347672"/>
  </r>
  <r>
    <x v="1"/>
    <s v="Vestdanmark"/>
    <x v="18"/>
    <x v="1"/>
    <n v="195082.24112879008"/>
  </r>
  <r>
    <x v="1"/>
    <s v="Vestdanmark"/>
    <x v="19"/>
    <x v="1"/>
    <n v="415611.46668729465"/>
  </r>
  <r>
    <x v="1"/>
    <s v="Vestdanmark"/>
    <x v="20"/>
    <x v="1"/>
    <n v="1694199.9621387043"/>
  </r>
  <r>
    <x v="1"/>
    <s v="Vestdanmark"/>
    <x v="21"/>
    <x v="1"/>
    <n v="747642.63549727667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3614295.4216959961"/>
  </r>
  <r>
    <x v="1"/>
    <s v="Vestdanmark"/>
    <x v="15"/>
    <x v="2"/>
    <n v="4927283.1817266364"/>
  </r>
  <r>
    <x v="1"/>
    <s v="Vestdanmark"/>
    <x v="16"/>
    <x v="2"/>
    <n v="9572.3712807334177"/>
  </r>
  <r>
    <x v="1"/>
    <s v="Vestdanmark"/>
    <x v="17"/>
    <x v="2"/>
    <n v="3648548.212430995"/>
  </r>
  <r>
    <x v="1"/>
    <s v="Vestdanmark"/>
    <x v="18"/>
    <x v="2"/>
    <n v="197484.23354298095"/>
  </r>
  <r>
    <x v="1"/>
    <s v="Vestdanmark"/>
    <x v="19"/>
    <x v="2"/>
    <n v="327578.03456131206"/>
  </r>
  <r>
    <x v="1"/>
    <s v="Vestdanmark"/>
    <x v="20"/>
    <x v="2"/>
    <n v="1873981.9703949981"/>
  </r>
  <r>
    <x v="1"/>
    <s v="Vestdanmark"/>
    <x v="21"/>
    <x v="2"/>
    <n v="1348703.394589339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94279.81933507253"/>
  </r>
  <r>
    <x v="1"/>
    <s v="Østdanmark"/>
    <x v="15"/>
    <x v="1"/>
    <n v="422365.12127274036"/>
  </r>
  <r>
    <x v="1"/>
    <s v="Østdanmark"/>
    <x v="16"/>
    <x v="1"/>
    <n v="505.82383463487201"/>
  </r>
  <r>
    <x v="1"/>
    <s v="Østdanmark"/>
    <x v="17"/>
    <x v="1"/>
    <n v="2171978.2222519391"/>
  </r>
  <r>
    <x v="1"/>
    <s v="Østdanmark"/>
    <x v="18"/>
    <x v="1"/>
    <n v="168912.75887120995"/>
  </r>
  <r>
    <x v="1"/>
    <s v="Østdanmark"/>
    <x v="19"/>
    <x v="1"/>
    <n v="184388.53331270564"/>
  </r>
  <r>
    <x v="1"/>
    <s v="Østdanmark"/>
    <x v="20"/>
    <x v="1"/>
    <n v="232776.9123387367"/>
  </r>
  <r>
    <x v="1"/>
    <s v="Østdanmark"/>
    <x v="21"/>
    <x v="1"/>
    <n v="91481.870163795786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523700.97978136648"/>
  </r>
  <r>
    <x v="1"/>
    <s v="Østdanmark"/>
    <x v="15"/>
    <x v="2"/>
    <n v="350201.77320858691"/>
  </r>
  <r>
    <x v="1"/>
    <s v="Østdanmark"/>
    <x v="16"/>
    <x v="2"/>
    <n v="803.40558831123519"/>
  </r>
  <r>
    <x v="1"/>
    <s v="Østdanmark"/>
    <x v="17"/>
    <x v="2"/>
    <n v="3145910.6406554594"/>
  </r>
  <r>
    <x v="1"/>
    <s v="Østdanmark"/>
    <x v="18"/>
    <x v="2"/>
    <n v="172292.76645701905"/>
  </r>
  <r>
    <x v="1"/>
    <s v="Østdanmark"/>
    <x v="19"/>
    <x v="2"/>
    <n v="172421.96543868803"/>
  </r>
  <r>
    <x v="1"/>
    <s v="Østdanmark"/>
    <x v="20"/>
    <x v="2"/>
    <n v="260039.73398687298"/>
  </r>
  <r>
    <x v="1"/>
    <s v="Østdanmark"/>
    <x v="21"/>
    <x v="2"/>
    <n v="164030.6006851652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453697.1570319049"/>
  </r>
  <r>
    <x v="2"/>
    <s v="Vestdanmark"/>
    <x v="22"/>
    <x v="1"/>
    <n v="0"/>
  </r>
  <r>
    <x v="2"/>
    <s v="Vestdanmark"/>
    <x v="2"/>
    <x v="1"/>
    <n v="0"/>
  </r>
  <r>
    <x v="2"/>
    <s v="Vestdanmark"/>
    <x v="5"/>
    <x v="1"/>
    <n v="0"/>
  </r>
  <r>
    <x v="2"/>
    <s v="Vestdanmark"/>
    <x v="25"/>
    <x v="1"/>
    <n v="657932.41592395958"/>
  </r>
  <r>
    <x v="2"/>
    <s v="Vestdanmark"/>
    <x v="24"/>
    <x v="1"/>
    <n v="4311555.6383084813"/>
  </r>
  <r>
    <x v="2"/>
    <s v="Vestdanmark"/>
    <x v="28"/>
    <x v="1"/>
    <n v="327903.8590131173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338080.0380292125"/>
  </r>
  <r>
    <x v="2"/>
    <s v="Vestdanmark"/>
    <x v="29"/>
    <x v="1"/>
    <n v="1144082.0425725533"/>
  </r>
  <r>
    <x v="2"/>
    <s v="Vestdanmark"/>
    <x v="30"/>
    <x v="1"/>
    <n v="809601.73248444556"/>
  </r>
  <r>
    <x v="2"/>
    <s v="Vestdanmark"/>
    <x v="31"/>
    <x v="1"/>
    <n v="393498.23725547997"/>
  </r>
  <r>
    <x v="2"/>
    <s v="Vestdanmark"/>
    <x v="32"/>
    <x v="1"/>
    <n v="29148.017574479996"/>
  </r>
  <r>
    <x v="2"/>
    <s v="Vestdanmark"/>
    <x v="33"/>
    <x v="1"/>
    <n v="1828597.931611574"/>
  </r>
  <r>
    <x v="2"/>
    <s v="Vestdanmark"/>
    <x v="0"/>
    <x v="2"/>
    <n v="3027382.7402155623"/>
  </r>
  <r>
    <x v="2"/>
    <s v="Vestdanmark"/>
    <x v="22"/>
    <x v="2"/>
    <n v="0"/>
  </r>
  <r>
    <x v="2"/>
    <s v="Vestdanmark"/>
    <x v="2"/>
    <x v="2"/>
    <n v="0"/>
  </r>
  <r>
    <x v="2"/>
    <s v="Vestdanmark"/>
    <x v="5"/>
    <x v="2"/>
    <n v="0"/>
  </r>
  <r>
    <x v="2"/>
    <s v="Vestdanmark"/>
    <x v="25"/>
    <x v="2"/>
    <n v="447226.91507025005"/>
  </r>
  <r>
    <x v="2"/>
    <s v="Vestdanmark"/>
    <x v="24"/>
    <x v="2"/>
    <n v="2930762.614221612"/>
  </r>
  <r>
    <x v="2"/>
    <s v="Vestdanmark"/>
    <x v="28"/>
    <x v="2"/>
    <n v="317451.28833478229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82"/>
  </r>
  <r>
    <x v="2"/>
    <s v="Vestdanmark"/>
    <x v="29"/>
    <x v="2"/>
    <n v="777685.16963622137"/>
  </r>
  <r>
    <x v="2"/>
    <s v="Vestdanmark"/>
    <x v="30"/>
    <x v="2"/>
    <n v="1056621.1648235293"/>
  </r>
  <r>
    <x v="2"/>
    <s v="Vestdanmark"/>
    <x v="31"/>
    <x v="2"/>
    <n v="512667.7863489"/>
  </r>
  <r>
    <x v="2"/>
    <s v="Vestdanmark"/>
    <x v="32"/>
    <x v="2"/>
    <n v="19813.247781600003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44956.27419303753"/>
  </r>
  <r>
    <x v="2"/>
    <s v="Østdanmark"/>
    <x v="22"/>
    <x v="1"/>
    <n v="0"/>
  </r>
  <r>
    <x v="2"/>
    <s v="Østdanmark"/>
    <x v="2"/>
    <x v="1"/>
    <n v="0"/>
  </r>
  <r>
    <x v="2"/>
    <s v="Østdanmark"/>
    <x v="5"/>
    <x v="1"/>
    <n v="0"/>
  </r>
  <r>
    <x v="2"/>
    <s v="Østdanmark"/>
    <x v="25"/>
    <x v="1"/>
    <n v="80504.889625609634"/>
  </r>
  <r>
    <x v="2"/>
    <s v="Østdanmark"/>
    <x v="24"/>
    <x v="1"/>
    <n v="527563.77764006588"/>
  </r>
  <r>
    <x v="2"/>
    <s v="Østdanmark"/>
    <x v="28"/>
    <x v="1"/>
    <n v="40122.45534458269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142611.4363447551"/>
  </r>
  <r>
    <x v="2"/>
    <s v="Østdanmark"/>
    <x v="29"/>
    <x v="1"/>
    <n v="139990.36425435884"/>
  </r>
  <r>
    <x v="2"/>
    <s v="Østdanmark"/>
    <x v="30"/>
    <x v="1"/>
    <n v="99063.211565328063"/>
  </r>
  <r>
    <x v="2"/>
    <s v="Østdanmark"/>
    <x v="31"/>
    <x v="1"/>
    <n v="48148.61130324001"/>
  </r>
  <r>
    <x v="2"/>
    <s v="Østdanmark"/>
    <x v="32"/>
    <x v="1"/>
    <n v="3566.5638002400005"/>
  </r>
  <r>
    <x v="2"/>
    <s v="Østdanmark"/>
    <x v="33"/>
    <x v="1"/>
    <n v="223748.01893181339"/>
  </r>
  <r>
    <x v="2"/>
    <s v="Østdanmark"/>
    <x v="0"/>
    <x v="2"/>
    <n v="368193.19308724854"/>
  </r>
  <r>
    <x v="2"/>
    <s v="Østdanmark"/>
    <x v="22"/>
    <x v="2"/>
    <n v="0"/>
  </r>
  <r>
    <x v="2"/>
    <s v="Østdanmark"/>
    <x v="2"/>
    <x v="2"/>
    <n v="0"/>
  </r>
  <r>
    <x v="2"/>
    <s v="Østdanmark"/>
    <x v="5"/>
    <x v="2"/>
    <n v="0"/>
  </r>
  <r>
    <x v="2"/>
    <s v="Østdanmark"/>
    <x v="25"/>
    <x v="2"/>
    <n v="54392.16644359615"/>
  </r>
  <r>
    <x v="2"/>
    <s v="Østdanmark"/>
    <x v="24"/>
    <x v="2"/>
    <n v="356442.16067445499"/>
  </r>
  <r>
    <x v="2"/>
    <s v="Østdanmark"/>
    <x v="28"/>
    <x v="2"/>
    <n v="38608.73022395632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94582.81637840427"/>
  </r>
  <r>
    <x v="2"/>
    <s v="Østdanmark"/>
    <x v="30"/>
    <x v="2"/>
    <n v="128507.27970135745"/>
  </r>
  <r>
    <x v="2"/>
    <s v="Østdanmark"/>
    <x v="31"/>
    <x v="2"/>
    <n v="62351.147987099997"/>
  </r>
  <r>
    <x v="2"/>
    <s v="Østdanmark"/>
    <x v="32"/>
    <x v="2"/>
    <n v="2409.7062023999997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9079.1108234245"/>
  </r>
  <r>
    <x v="3"/>
    <s v="Vestdanmark"/>
    <x v="34"/>
    <x v="1"/>
    <n v="195676.41783295566"/>
  </r>
  <r>
    <x v="3"/>
    <s v="Vestdanmark"/>
    <x v="35"/>
    <x v="1"/>
    <n v="124648.5815119847"/>
  </r>
  <r>
    <x v="3"/>
    <s v="Vestdanmark"/>
    <x v="36"/>
    <x v="1"/>
    <n v="2226876.9610476061"/>
  </r>
  <r>
    <x v="3"/>
    <s v="Vestdanmark"/>
    <x v="26"/>
    <x v="1"/>
    <n v="97976.042029459204"/>
  </r>
  <r>
    <x v="3"/>
    <s v="Vestdanmark"/>
    <x v="18"/>
    <x v="1"/>
    <n v="10619.848294116964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16.5810820785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6492.37528769014"/>
  </r>
  <r>
    <x v="3"/>
    <s v="Østdanmark"/>
    <x v="34"/>
    <x v="1"/>
    <n v="63217.001274335715"/>
  </r>
  <r>
    <x v="3"/>
    <s v="Østdanmark"/>
    <x v="35"/>
    <x v="1"/>
    <n v="36846.931969416735"/>
  </r>
  <r>
    <x v="3"/>
    <s v="Østdanmark"/>
    <x v="36"/>
    <x v="1"/>
    <n v="647935.48316961934"/>
  </r>
  <r>
    <x v="3"/>
    <s v="Østdanmark"/>
    <x v="26"/>
    <x v="1"/>
    <n v="84832.957970540854"/>
  </r>
  <r>
    <x v="3"/>
    <s v="Østdanmark"/>
    <x v="18"/>
    <x v="1"/>
    <n v="9195.239216924703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3.04788774872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83071.86454684939"/>
  </r>
  <r>
    <x v="3"/>
    <s v="Vestdanmark"/>
    <x v="34"/>
    <x v="2"/>
    <n v="168211.99766544558"/>
  </r>
  <r>
    <x v="3"/>
    <s v="Vestdanmark"/>
    <x v="35"/>
    <x v="2"/>
    <n v="83602.19105177233"/>
  </r>
  <r>
    <x v="3"/>
    <s v="Vestdanmark"/>
    <x v="36"/>
    <x v="2"/>
    <n v="2341876.9484984945"/>
  </r>
  <r>
    <x v="3"/>
    <s v="Vestdanmark"/>
    <x v="26"/>
    <x v="2"/>
    <n v="97631.532652811788"/>
  </r>
  <r>
    <x v="3"/>
    <s v="Vestdanmark"/>
    <x v="18"/>
    <x v="2"/>
    <n v="12429.230254746712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89715.3596323389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90717.92520308075"/>
  </r>
  <r>
    <x v="3"/>
    <s v="Østdanmark"/>
    <x v="34"/>
    <x v="2"/>
    <n v="60667.559030386925"/>
  </r>
  <r>
    <x v="3"/>
    <s v="Østdanmark"/>
    <x v="35"/>
    <x v="2"/>
    <n v="30151.8698273154"/>
  </r>
  <r>
    <x v="3"/>
    <s v="Østdanmark"/>
    <x v="36"/>
    <x v="2"/>
    <n v="628453.92541579902"/>
  </r>
  <r>
    <x v="3"/>
    <s v="Østdanmark"/>
    <x v="26"/>
    <x v="2"/>
    <n v="85177.467347188154"/>
  </r>
  <r>
    <x v="3"/>
    <s v="Østdanmark"/>
    <x v="18"/>
    <x v="2"/>
    <n v="10843.733836886386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8611.500613521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2951674.5943850633"/>
  </r>
  <r>
    <x v="5"/>
    <s v="Vestdanmark"/>
    <x v="15"/>
    <x v="1"/>
    <n v="3199866.9217054429"/>
  </r>
  <r>
    <x v="5"/>
    <s v="Vestdanmark"/>
    <x v="16"/>
    <x v="1"/>
    <n v="3245.1790542566873"/>
  </r>
  <r>
    <x v="5"/>
    <s v="Vestdanmark"/>
    <x v="20"/>
    <x v="1"/>
    <n v="345356.14612827433"/>
  </r>
  <r>
    <x v="5"/>
    <s v="Vestdanmark"/>
    <x v="38"/>
    <x v="1"/>
    <n v="11764874.104094444"/>
  </r>
  <r>
    <x v="5"/>
    <s v="Vestdanmark"/>
    <x v="39"/>
    <x v="1"/>
    <n v="1228477.143126321"/>
  </r>
  <r>
    <x v="5"/>
    <s v="Vestdanmark"/>
    <x v="14"/>
    <x v="2"/>
    <n v="401588.38018844387"/>
  </r>
  <r>
    <x v="5"/>
    <s v="Vestdanmark"/>
    <x v="15"/>
    <x v="2"/>
    <n v="547475.90908073727"/>
  </r>
  <r>
    <x v="5"/>
    <s v="Vestdanmark"/>
    <x v="16"/>
    <x v="2"/>
    <n v="1063.5968089703795"/>
  </r>
  <r>
    <x v="5"/>
    <s v="Vestdanmark"/>
    <x v="20"/>
    <x v="2"/>
    <n v="78826.225738837195"/>
  </r>
  <r>
    <x v="5"/>
    <s v="Vestdanmark"/>
    <x v="38"/>
    <x v="2"/>
    <n v="8808668.0901926495"/>
  </r>
  <r>
    <x v="5"/>
    <s v="Vestdanmark"/>
    <x v="39"/>
    <x v="2"/>
    <n v="1105939.153796320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427689.13348811591"/>
  </r>
  <r>
    <x v="5"/>
    <s v="Østdanmark"/>
    <x v="15"/>
    <x v="1"/>
    <n v="227427.37299301403"/>
  </r>
  <r>
    <x v="5"/>
    <s v="Østdanmark"/>
    <x v="16"/>
    <x v="1"/>
    <n v="272.36668018800799"/>
  </r>
  <r>
    <x v="5"/>
    <s v="Østdanmark"/>
    <x v="20"/>
    <x v="1"/>
    <n v="47450.678284434784"/>
  </r>
  <r>
    <x v="5"/>
    <s v="Østdanmark"/>
    <x v="38"/>
    <x v="1"/>
    <n v="2988113.0405047191"/>
  </r>
  <r>
    <x v="5"/>
    <s v="Østdanmark"/>
    <x v="39"/>
    <x v="1"/>
    <n v="491101.64058741054"/>
  </r>
  <r>
    <x v="5"/>
    <s v="Østdanmark"/>
    <x v="14"/>
    <x v="2"/>
    <n v="58188.99775348515"/>
  </r>
  <r>
    <x v="5"/>
    <s v="Østdanmark"/>
    <x v="15"/>
    <x v="2"/>
    <n v="38911.308134287421"/>
  </r>
  <r>
    <x v="5"/>
    <s v="Østdanmark"/>
    <x v="16"/>
    <x v="2"/>
    <n v="89.267287590137229"/>
  </r>
  <r>
    <x v="5"/>
    <s v="Østdanmark"/>
    <x v="20"/>
    <x v="2"/>
    <n v="10938.179286749417"/>
  </r>
  <r>
    <x v="5"/>
    <s v="Østdanmark"/>
    <x v="38"/>
    <x v="2"/>
    <n v="2772967.1013813135"/>
  </r>
  <r>
    <x v="5"/>
    <s v="Østdanmark"/>
    <x v="39"/>
    <x v="2"/>
    <n v="428883.93622894585"/>
  </r>
  <r>
    <x v="6"/>
    <s v="Vestdanmark"/>
    <x v="23"/>
    <x v="0"/>
    <n v="0"/>
  </r>
  <r>
    <x v="6"/>
    <s v="Vestdanmark"/>
    <x v="23"/>
    <x v="1"/>
    <n v="2353861.1061256947"/>
  </r>
  <r>
    <x v="6"/>
    <s v="Vestdanmark"/>
    <x v="23"/>
    <x v="2"/>
    <n v="3066719.6149769477"/>
  </r>
  <r>
    <x v="6"/>
    <s v="Østdanmark"/>
    <x v="23"/>
    <x v="0"/>
    <n v="0"/>
  </r>
  <r>
    <x v="6"/>
    <s v="Østdanmark"/>
    <x v="23"/>
    <x v="1"/>
    <n v="288019.44387638377"/>
  </r>
  <r>
    <x v="6"/>
    <s v="Østdanmark"/>
    <x v="23"/>
    <x v="2"/>
    <n v="372977.38153229345"/>
  </r>
  <r>
    <x v="7"/>
    <s v="Vestdanmark"/>
    <x v="40"/>
    <x v="0"/>
    <n v="484833.6848947219"/>
  </r>
  <r>
    <x v="7"/>
    <s v="Vestdanmark"/>
    <x v="40"/>
    <x v="1"/>
    <n v="611488.80572798639"/>
  </r>
  <r>
    <x v="7"/>
    <s v="Vestdanmark"/>
    <x v="40"/>
    <x v="2"/>
    <n v="525662.49270451744"/>
  </r>
  <r>
    <x v="7"/>
    <s v="Østdanmark"/>
    <x v="40"/>
    <x v="0"/>
    <n v="193574.13238370849"/>
  </r>
  <r>
    <x v="7"/>
    <s v="Østdanmark"/>
    <x v="40"/>
    <x v="1"/>
    <n v="197553.12898229909"/>
  </r>
  <r>
    <x v="7"/>
    <s v="Østdanmark"/>
    <x v="40"/>
    <x v="2"/>
    <n v="189586.12196995915"/>
  </r>
  <r>
    <x v="8"/>
    <s v="Vestdanmark"/>
    <x v="22"/>
    <x v="0"/>
    <n v="0"/>
  </r>
  <r>
    <x v="8"/>
    <s v="Vestdanmark"/>
    <x v="22"/>
    <x v="1"/>
    <n v="1085650.2622768846"/>
  </r>
  <r>
    <x v="8"/>
    <s v="Vestdanmark"/>
    <x v="22"/>
    <x v="2"/>
    <n v="1792368.5988405086"/>
  </r>
  <r>
    <x v="8"/>
    <s v="Østdanmark"/>
    <x v="22"/>
    <x v="0"/>
    <n v="0"/>
  </r>
  <r>
    <x v="8"/>
    <s v="Østdanmark"/>
    <x v="22"/>
    <x v="1"/>
    <n v="394349.73772311531"/>
  </r>
  <r>
    <x v="8"/>
    <s v="Østdanmark"/>
    <x v="22"/>
    <x v="2"/>
    <n v="707631.4011594909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07964.14687505551"/>
  </r>
  <r>
    <x v="3"/>
    <s v="Vestdanmark"/>
    <x v="42"/>
    <x v="1"/>
    <n v="151991.03671876388"/>
  </r>
  <r>
    <x v="3"/>
    <s v="Vestdanmark"/>
    <x v="41"/>
    <x v="2"/>
    <n v="1003726.4153506849"/>
  </r>
  <r>
    <x v="3"/>
    <s v="Vestdanmark"/>
    <x v="42"/>
    <x v="2"/>
    <n v="250931.6038376712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20835.85312494458"/>
  </r>
  <r>
    <x v="3"/>
    <s v="Østdanmark"/>
    <x v="42"/>
    <x v="1"/>
    <n v="55208.963281236145"/>
  </r>
  <r>
    <x v="3"/>
    <s v="Østdanmark"/>
    <x v="41"/>
    <x v="2"/>
    <n v="396273.58464931493"/>
  </r>
  <r>
    <x v="3"/>
    <s v="Østdanmark"/>
    <x v="42"/>
    <x v="2"/>
    <n v="99068.396162328732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0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0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4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7">
      <pivotArea outline="0" collapsedLevelsAreSubtotals="1" fieldPosition="0"/>
    </format>
  </formats>
  <chartFormats count="7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06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6">
      <pivotArea outline="0" collapsedLevelsAreSubtotals="1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05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4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0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3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0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0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0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0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08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8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0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7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18" sqref="D1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3" t="s">
        <v>278</v>
      </c>
      <c r="B1" s="343"/>
      <c r="D1" s="75" t="s">
        <v>291</v>
      </c>
    </row>
    <row r="2" spans="1:6" x14ac:dyDescent="0.25">
      <c r="A2" s="6" t="s">
        <v>0</v>
      </c>
      <c r="B2" s="224" t="s">
        <v>310</v>
      </c>
    </row>
    <row r="4" spans="1:6" ht="30" customHeight="1" thickBot="1" x14ac:dyDescent="0.3">
      <c r="A4" s="342" t="s">
        <v>277</v>
      </c>
      <c r="B4" s="342"/>
      <c r="D4" s="75"/>
    </row>
    <row r="5" spans="1:6" ht="15.75" thickTop="1" x14ac:dyDescent="0.25">
      <c r="A5" s="256" t="s">
        <v>86</v>
      </c>
      <c r="B5" s="255" t="s">
        <v>312</v>
      </c>
      <c r="D5" s="212" t="s">
        <v>43</v>
      </c>
      <c r="E5" s="213"/>
      <c r="F5" s="12"/>
    </row>
    <row r="6" spans="1:6" x14ac:dyDescent="0.25">
      <c r="A6" s="206" t="s">
        <v>84</v>
      </c>
      <c r="B6" s="207" t="s">
        <v>261</v>
      </c>
      <c r="D6" s="214" t="str" cm="1">
        <f t="array" ref="D6">[1]!Jordbund1</f>
        <v>JB1-10</v>
      </c>
      <c r="E6" s="215" t="s">
        <v>44</v>
      </c>
      <c r="F6" s="12"/>
    </row>
    <row r="7" spans="1:6" x14ac:dyDescent="0.25">
      <c r="A7" s="206"/>
      <c r="B7" s="207" t="s">
        <v>2</v>
      </c>
      <c r="D7" s="214" t="str" cm="1">
        <f t="array" ref="D7">[1]!Organ6</f>
        <v>OC6</v>
      </c>
      <c r="E7" s="215" t="s">
        <v>45</v>
      </c>
      <c r="F7" s="12"/>
    </row>
    <row r="8" spans="1:6" x14ac:dyDescent="0.25">
      <c r="A8" s="222" t="s">
        <v>92</v>
      </c>
      <c r="B8" s="207" t="s">
        <v>262</v>
      </c>
      <c r="D8" s="214" t="str" cm="1">
        <f t="array" ref="D8">[1]!Organ12</f>
        <v>OC12</v>
      </c>
      <c r="E8" s="215" t="s">
        <v>46</v>
      </c>
      <c r="F8" s="12"/>
    </row>
    <row r="9" spans="1:6" x14ac:dyDescent="0.25">
      <c r="A9" s="208" t="s">
        <v>93</v>
      </c>
      <c r="B9" s="207" t="s">
        <v>263</v>
      </c>
      <c r="D9" s="214"/>
      <c r="E9" s="215"/>
      <c r="F9" s="12"/>
    </row>
    <row r="10" spans="1:6" x14ac:dyDescent="0.25">
      <c r="A10" s="206"/>
      <c r="B10" s="207"/>
      <c r="D10" s="216" t="s">
        <v>47</v>
      </c>
      <c r="E10" s="215"/>
      <c r="F10" s="12"/>
    </row>
    <row r="11" spans="1:6" x14ac:dyDescent="0.25">
      <c r="A11" s="222" t="s">
        <v>69</v>
      </c>
      <c r="B11" s="223" t="s">
        <v>264</v>
      </c>
      <c r="D11" s="214" t="str" cm="1">
        <f t="array" ref="D11">[1]!Bebyg</f>
        <v>Bebyggelse &amp; infrastruktur</v>
      </c>
      <c r="E11" s="215"/>
      <c r="F11" s="12"/>
    </row>
    <row r="12" spans="1:6" x14ac:dyDescent="0.25">
      <c r="A12" s="206" t="s">
        <v>258</v>
      </c>
      <c r="B12" s="207" t="s">
        <v>265</v>
      </c>
      <c r="D12" s="214" t="str" cm="1">
        <f t="array" ref="D12">[1]!Afgrøder</f>
        <v>Landbrugsafgrøder</v>
      </c>
      <c r="E12" s="215"/>
      <c r="F12" s="12"/>
    </row>
    <row r="13" spans="1:6" x14ac:dyDescent="0.25">
      <c r="A13" s="206"/>
      <c r="B13" s="207"/>
      <c r="D13" s="214" t="str" cm="1">
        <f t="array" ref="D13">[1]!SkovAreal</f>
        <v>Skov</v>
      </c>
      <c r="E13" s="215"/>
      <c r="F13" s="12"/>
    </row>
    <row r="14" spans="1:6" x14ac:dyDescent="0.25">
      <c r="A14" s="222" t="s">
        <v>70</v>
      </c>
      <c r="B14" s="223" t="s">
        <v>266</v>
      </c>
      <c r="D14" s="214" t="str" cm="1">
        <f t="array" ref="D14">[1]!NaturAreal</f>
        <v>Natur</v>
      </c>
      <c r="E14" s="215"/>
      <c r="F14" s="12"/>
    </row>
    <row r="15" spans="1:6" x14ac:dyDescent="0.25">
      <c r="A15" s="206" t="s">
        <v>71</v>
      </c>
      <c r="B15" s="207" t="s">
        <v>267</v>
      </c>
      <c r="D15" s="214" t="str" cm="1">
        <f t="array" ref="D15">[1]!IKareal</f>
        <v>Ikke klassificeret</v>
      </c>
      <c r="E15" s="215"/>
      <c r="F15" s="12"/>
    </row>
    <row r="16" spans="1:6" x14ac:dyDescent="0.25">
      <c r="A16" s="206" t="s">
        <v>72</v>
      </c>
      <c r="B16" s="207"/>
      <c r="D16" s="217"/>
      <c r="E16" s="215"/>
    </row>
    <row r="17" spans="1:5" x14ac:dyDescent="0.25">
      <c r="A17" s="206" t="s">
        <v>73</v>
      </c>
      <c r="B17" s="223" t="s">
        <v>274</v>
      </c>
      <c r="D17" s="218" t="s">
        <v>94</v>
      </c>
      <c r="E17" s="215"/>
    </row>
    <row r="18" spans="1:5" x14ac:dyDescent="0.25">
      <c r="A18" s="206" t="s">
        <v>74</v>
      </c>
      <c r="B18" s="344" t="s">
        <v>279</v>
      </c>
      <c r="D18" s="214" cm="1">
        <f t="array" ref="D18">[1]!År1</f>
        <v>2019</v>
      </c>
      <c r="E18" s="215"/>
    </row>
    <row r="19" spans="1:5" x14ac:dyDescent="0.25">
      <c r="A19" s="206" t="s">
        <v>259</v>
      </c>
      <c r="B19" s="344"/>
      <c r="D19" s="214" cm="1">
        <f t="array" ref="D19">[1]!År2</f>
        <v>2030</v>
      </c>
      <c r="E19" s="215"/>
    </row>
    <row r="20" spans="1:5" ht="15.75" thickBot="1" x14ac:dyDescent="0.3">
      <c r="A20" s="206" t="s">
        <v>260</v>
      </c>
      <c r="B20" s="207"/>
      <c r="D20" s="219" cm="1">
        <f t="array" ref="D20">[1]!År3</f>
        <v>2050</v>
      </c>
      <c r="E20" s="220"/>
    </row>
    <row r="21" spans="1:5" ht="15.75" thickTop="1" x14ac:dyDescent="0.25">
      <c r="A21" s="206" t="s">
        <v>75</v>
      </c>
      <c r="B21" s="207"/>
    </row>
    <row r="22" spans="1:5" x14ac:dyDescent="0.25">
      <c r="A22" s="206"/>
      <c r="B22" s="207"/>
    </row>
    <row r="23" spans="1:5" x14ac:dyDescent="0.25">
      <c r="A23" s="257" t="s">
        <v>313</v>
      </c>
      <c r="B23" s="207"/>
    </row>
    <row r="24" spans="1:5" ht="15.75" thickBot="1" x14ac:dyDescent="0.3">
      <c r="A24" s="209" t="s">
        <v>1</v>
      </c>
      <c r="B24" s="210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X169"/>
  <sheetViews>
    <sheetView zoomScale="60" zoomScaleNormal="60" workbookViewId="0">
      <selection activeCell="R40" sqref="R4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7" width="9.140625" style="1"/>
    <col min="8" max="8" width="11.7109375" style="1" customWidth="1"/>
    <col min="9" max="9" width="9.140625" style="1"/>
    <col min="10" max="10" width="10.85546875" style="1" bestFit="1" customWidth="1"/>
    <col min="11" max="18" width="9.140625" style="1"/>
    <col min="19" max="19" width="15.140625" style="1" bestFit="1" customWidth="1"/>
    <col min="20" max="16384" width="9.140625" style="1"/>
  </cols>
  <sheetData>
    <row r="1" spans="1:24" ht="15" customHeight="1" x14ac:dyDescent="0.25">
      <c r="A1" s="254" t="s">
        <v>305</v>
      </c>
      <c r="B1" s="253"/>
      <c r="C1" s="345" t="s">
        <v>304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</row>
    <row r="2" spans="1:24" ht="15" customHeight="1" x14ac:dyDescent="0.25">
      <c r="A2" s="253"/>
      <c r="B2" s="253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</row>
    <row r="3" spans="1:24" x14ac:dyDescent="0.25">
      <c r="A3" s="75"/>
    </row>
    <row r="9" spans="1:24" x14ac:dyDescent="0.25">
      <c r="R9" s="1" t="s">
        <v>10</v>
      </c>
      <c r="S9" s="1">
        <v>561900</v>
      </c>
      <c r="T9" s="114">
        <f t="shared" ref="T9:T13" si="0">S9/SUM($U$9:$U$13)</f>
        <v>0.13158387740382363</v>
      </c>
      <c r="U9" s="382">
        <v>811900</v>
      </c>
      <c r="V9" s="114">
        <f>U9/SUM($U$9:$U$13)</f>
        <v>0.19012804780951131</v>
      </c>
      <c r="W9" s="1">
        <v>1061900</v>
      </c>
      <c r="X9" s="114">
        <f t="shared" ref="X9:X13" si="1">W9/SUM($U$9:$U$13)</f>
        <v>0.248672218215199</v>
      </c>
    </row>
    <row r="10" spans="1:24" x14ac:dyDescent="0.25">
      <c r="R10" s="1" t="s">
        <v>33</v>
      </c>
      <c r="S10" s="1">
        <v>472920</v>
      </c>
      <c r="T10" s="114">
        <f t="shared" si="0"/>
        <v>0.11074683627303128</v>
      </c>
      <c r="U10" s="382">
        <v>572920</v>
      </c>
      <c r="V10" s="114">
        <f>U10/SUM($U$9:$U$13)</f>
        <v>0.13416450443530634</v>
      </c>
      <c r="W10" s="1">
        <v>651650</v>
      </c>
      <c r="X10" s="114">
        <f t="shared" si="1"/>
        <v>0.15260123457946551</v>
      </c>
    </row>
    <row r="11" spans="1:24" x14ac:dyDescent="0.25">
      <c r="R11" s="1" t="s">
        <v>70</v>
      </c>
      <c r="S11" s="1">
        <v>2578370</v>
      </c>
      <c r="T11" s="114">
        <f t="shared" si="0"/>
        <v>0.60379413059565179</v>
      </c>
      <c r="U11" s="382">
        <v>2228370</v>
      </c>
      <c r="V11" s="114">
        <f>U11/SUM($U$9:$U$13)</f>
        <v>0.5218322920276891</v>
      </c>
      <c r="W11" s="1">
        <v>1899640</v>
      </c>
      <c r="X11" s="114">
        <f t="shared" si="1"/>
        <v>0.4448513914778422</v>
      </c>
    </row>
    <row r="12" spans="1:24" x14ac:dyDescent="0.25">
      <c r="R12" s="1" t="s">
        <v>345</v>
      </c>
      <c r="S12" s="1">
        <v>591230</v>
      </c>
      <c r="T12" s="114">
        <f t="shared" si="0"/>
        <v>0.13845227947581892</v>
      </c>
      <c r="U12" s="382">
        <v>591230</v>
      </c>
      <c r="V12" s="114">
        <f>U12/SUM($U$9:$U$13)</f>
        <v>0.13845227947581892</v>
      </c>
      <c r="W12" s="1">
        <v>591230</v>
      </c>
      <c r="X12" s="114">
        <f t="shared" si="1"/>
        <v>0.13845227947581892</v>
      </c>
    </row>
    <row r="13" spans="1:24" x14ac:dyDescent="0.25">
      <c r="R13" s="1" t="s">
        <v>346</v>
      </c>
      <c r="S13" s="1">
        <v>65860</v>
      </c>
      <c r="T13" s="114">
        <f t="shared" si="0"/>
        <v>1.5422876251674364E-2</v>
      </c>
      <c r="U13" s="382">
        <v>65860</v>
      </c>
      <c r="V13" s="114">
        <f>U13/SUM($U$9:$U$13)</f>
        <v>1.5422876251674364E-2</v>
      </c>
      <c r="W13" s="1">
        <v>65860</v>
      </c>
      <c r="X13" s="114">
        <f t="shared" si="1"/>
        <v>1.5422876251674364E-2</v>
      </c>
    </row>
    <row r="39" spans="18:18" x14ac:dyDescent="0.25">
      <c r="R39" s="383">
        <f>20*0.3</f>
        <v>6</v>
      </c>
    </row>
    <row r="123" spans="3:3" x14ac:dyDescent="0.25">
      <c r="C123" s="181"/>
    </row>
    <row r="166" spans="7:11" x14ac:dyDescent="0.25">
      <c r="H166" s="1">
        <v>2030</v>
      </c>
      <c r="I166" s="1">
        <v>2030</v>
      </c>
      <c r="J166" s="1">
        <v>2050</v>
      </c>
      <c r="K166" s="1">
        <v>2050</v>
      </c>
    </row>
    <row r="167" spans="7:11" x14ac:dyDescent="0.25">
      <c r="H167" s="1" t="s">
        <v>343</v>
      </c>
      <c r="I167" s="1" t="s">
        <v>344</v>
      </c>
      <c r="J167" s="1" t="str">
        <f>H167</f>
        <v>ton vv</v>
      </c>
      <c r="K167" s="1" t="str">
        <f>I167</f>
        <v>gødning</v>
      </c>
    </row>
    <row r="168" spans="7:11" x14ac:dyDescent="0.25">
      <c r="G168" s="1" t="s">
        <v>341</v>
      </c>
      <c r="H168" s="181">
        <f ca="1">'Resultat-Produktion &amp; forbrug'!N55+'Resultat-Produktion &amp; forbrug'!N199</f>
        <v>5519430.086039965</v>
      </c>
      <c r="J168" s="181">
        <f ca="1">'Resultat-Produktion &amp; forbrug'!N55+'Resultat-Produktion &amp; forbrug'!N199</f>
        <v>5519430.086039965</v>
      </c>
    </row>
    <row r="169" spans="7:11" x14ac:dyDescent="0.25">
      <c r="G169" s="1" t="s">
        <v>342</v>
      </c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70" zoomScaleNormal="70" workbookViewId="0">
      <selection activeCell="A62" sqref="A6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7.42578125" style="1" bestFit="1" customWidth="1"/>
    <col min="11" max="12" width="13.140625" style="1" bestFit="1" customWidth="1"/>
    <col min="13" max="13" width="15.85546875" style="1" bestFit="1" customWidth="1"/>
    <col min="14" max="15" width="13.140625" style="1" bestFit="1" customWidth="1"/>
    <col min="16" max="16" width="15.85546875" style="1" bestFit="1" customWidth="1"/>
    <col min="17" max="18" width="13.140625" style="1" bestFit="1" customWidth="1"/>
    <col min="19" max="16384" width="9.140625" style="1"/>
  </cols>
  <sheetData>
    <row r="1" spans="1:18" x14ac:dyDescent="0.25">
      <c r="A1" s="230" t="s">
        <v>280</v>
      </c>
      <c r="B1" s="75" t="s">
        <v>306</v>
      </c>
    </row>
    <row r="2" spans="1:18" ht="42.95" customHeight="1" x14ac:dyDescent="0.25">
      <c r="A2" s="225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1" t="s">
        <v>275</v>
      </c>
      <c r="C5" s="9">
        <v>250000</v>
      </c>
      <c r="D5" s="9">
        <v>500000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1899636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1061900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  <c r="P13" s="15">
        <f>P7/4293300</f>
        <v>0.24733887685463396</v>
      </c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  <c r="I17" s="381">
        <f>D4-C4</f>
        <v>78730</v>
      </c>
    </row>
    <row r="18" spans="1:18" x14ac:dyDescent="0.25">
      <c r="E18" s="15"/>
      <c r="F18" s="15"/>
      <c r="G18" s="15"/>
      <c r="I18" s="381">
        <f>D5-C5</f>
        <v>250000</v>
      </c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8"/>
      <c r="J22" s="259" t="s">
        <v>307</v>
      </c>
      <c r="K22" s="259"/>
      <c r="L22" s="259"/>
      <c r="M22" s="259"/>
      <c r="N22" s="259"/>
      <c r="O22" s="259"/>
      <c r="P22" s="259"/>
      <c r="Q22" s="258"/>
      <c r="R22" s="258"/>
    </row>
    <row r="23" spans="1:18" hidden="1" x14ac:dyDescent="0.25">
      <c r="D23" s="15"/>
      <c r="E23" s="15"/>
      <c r="F23" s="15"/>
      <c r="G23" s="15"/>
      <c r="I23" s="260" t="s">
        <v>176</v>
      </c>
      <c r="J23" s="261">
        <f>År1</f>
        <v>2019</v>
      </c>
      <c r="K23" s="261">
        <f>År1</f>
        <v>2019</v>
      </c>
      <c r="L23" s="261">
        <f>År1</f>
        <v>2019</v>
      </c>
      <c r="M23" s="261">
        <f>År2</f>
        <v>2030</v>
      </c>
      <c r="N23" s="261">
        <f>År2</f>
        <v>2030</v>
      </c>
      <c r="O23" s="261">
        <f>År2</f>
        <v>2030</v>
      </c>
      <c r="P23" s="261">
        <f>År3</f>
        <v>2050</v>
      </c>
      <c r="Q23" s="261">
        <f>År3</f>
        <v>2050</v>
      </c>
      <c r="R23" s="261">
        <f>År3</f>
        <v>2050</v>
      </c>
    </row>
    <row r="24" spans="1:18" hidden="1" x14ac:dyDescent="0.25">
      <c r="D24" s="15"/>
      <c r="E24" s="15"/>
      <c r="F24" s="15"/>
      <c r="G24" s="15"/>
      <c r="I24" s="260"/>
      <c r="J24" s="261" t="str">
        <f>Jordbund1</f>
        <v>JB1-10</v>
      </c>
      <c r="K24" s="261" t="str">
        <f>Organ6</f>
        <v>OC6</v>
      </c>
      <c r="L24" s="261" t="str">
        <f>Organ12</f>
        <v>OC12</v>
      </c>
      <c r="M24" s="261" t="str">
        <f>Jordbund1</f>
        <v>JB1-10</v>
      </c>
      <c r="N24" s="261" t="str">
        <f>Organ6</f>
        <v>OC6</v>
      </c>
      <c r="O24" s="261" t="str">
        <f>Organ12</f>
        <v>OC12</v>
      </c>
      <c r="P24" s="261" t="str">
        <f>Jordbund1</f>
        <v>JB1-10</v>
      </c>
      <c r="Q24" s="261" t="str">
        <f>Organ6</f>
        <v>OC6</v>
      </c>
      <c r="R24" s="261" t="str">
        <f>Organ12</f>
        <v>OC12</v>
      </c>
    </row>
    <row r="25" spans="1:18" hidden="1" x14ac:dyDescent="0.25">
      <c r="D25" s="15"/>
      <c r="E25" s="15"/>
      <c r="F25" s="15"/>
      <c r="G25" s="15"/>
      <c r="I25" s="262" t="str">
        <f>Bebyg</f>
        <v>Bebyggelse &amp; infrastruktur</v>
      </c>
      <c r="J25" s="268">
        <f>SUMIF([1]Arealanvendelse!$B$15:$B$22,I25,[1]Arealanvendelse!$D$15:$D$22)-SUM(K25:L25)</f>
        <v>412730</v>
      </c>
      <c r="K25" s="268"/>
      <c r="L25" s="268"/>
      <c r="M25" s="271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1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1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1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1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1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2" t="str">
        <f>Afgrøder</f>
        <v>Landbrugsafgrøder</v>
      </c>
      <c r="J26" s="268">
        <f>SUMIF([1]Arealanvendelse!$B$15:$B$22,I26,[1]Arealanvendelse!$D$15:$D$22)-SUM(K26:L26)</f>
        <v>1847465.5978301479</v>
      </c>
      <c r="K26" s="268">
        <f>[1]Jordbundstypefordeling!$D$16*[1]Jordbundstypefordeling!$F$4</f>
        <v>90723.841613092387</v>
      </c>
      <c r="L26" s="268">
        <f>[1]Jordbundstypefordeling!$D$15*[1]Jordbundstypefordeling!$F$4</f>
        <v>70620.560556759505</v>
      </c>
      <c r="M26" s="271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1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1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1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1396112.1839026022</v>
      </c>
      <c r="Q26" s="271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1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2" t="str">
        <f>SkovAreal</f>
        <v>Skov</v>
      </c>
      <c r="J27" s="268">
        <f>SUMIF([1]Arealanvendelse!$B$15:$B$22,I27,[1]Arealanvendelse!$D$15:$D$22)-SUM(K27:L27)</f>
        <v>434670</v>
      </c>
      <c r="K27" s="268"/>
      <c r="L27" s="268"/>
      <c r="M27" s="271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1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1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1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886023.41392754577</v>
      </c>
      <c r="Q27" s="271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1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2" t="str">
        <f>NaturAreal</f>
        <v>Natur</v>
      </c>
      <c r="J28" s="268">
        <f>SUMIF([1]Arealanvendelse!$B$15:$B$22,I28,[1]Arealanvendelse!$D$15:$D$22)-SUM(K28:L28)</f>
        <v>288846.71526402031</v>
      </c>
      <c r="K28" s="268">
        <f>([1]Jordbundstypefordeling!$E$16-[1]Jordbundstypefordeling!$D$16)*SUM([1]Jordbundstypefordeling!$D$3:$D$5)</f>
        <v>55514.664499432409</v>
      </c>
      <c r="L28" s="268">
        <f>([1]Jordbundstypefordeling!$E$15-[1]Jordbundstypefordeling!$D$15)*SUM([1]Jordbundstypefordeling!D3:D5)</f>
        <v>45828.620236547278</v>
      </c>
      <c r="M28" s="271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1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1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1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1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1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3" t="str">
        <f>IKareal</f>
        <v>Ikke klassificeret</v>
      </c>
      <c r="J29" s="269">
        <f>SUMIF([1]Arealanvendelse!$B$15:$B$22,I29,[1]Arealanvendelse!$D$15:$D$22)-SUM(K29:L29)</f>
        <v>46640</v>
      </c>
      <c r="K29" s="269"/>
      <c r="L29" s="269"/>
      <c r="M29" s="272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2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2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2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2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2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4" t="s">
        <v>30</v>
      </c>
      <c r="J30" s="270">
        <f t="shared" ref="J30:R30" si="6">SUM(J25:J29)</f>
        <v>3030352.3130941684</v>
      </c>
      <c r="K30" s="270">
        <f t="shared" si="6"/>
        <v>146238.5061125248</v>
      </c>
      <c r="L30" s="270">
        <f t="shared" si="6"/>
        <v>116449.18079330679</v>
      </c>
      <c r="M30" s="273">
        <f t="shared" si="6"/>
        <v>3030352.3130941684</v>
      </c>
      <c r="N30" s="273">
        <f t="shared" si="6"/>
        <v>146238.5061125248</v>
      </c>
      <c r="O30" s="273">
        <f t="shared" si="6"/>
        <v>116449.18079330679</v>
      </c>
      <c r="P30" s="273">
        <f t="shared" si="6"/>
        <v>3030352.3130941684</v>
      </c>
      <c r="Q30" s="273">
        <f t="shared" si="6"/>
        <v>146238.5061125248</v>
      </c>
      <c r="R30" s="273">
        <f t="shared" si="6"/>
        <v>116449.18079330679</v>
      </c>
    </row>
    <row r="31" spans="1:18" hidden="1" x14ac:dyDescent="0.25">
      <c r="I31" s="265"/>
      <c r="J31" s="266"/>
      <c r="K31" s="266"/>
      <c r="L31" s="266"/>
      <c r="M31" s="267"/>
      <c r="N31" s="266"/>
      <c r="O31" s="266"/>
      <c r="P31" s="266"/>
      <c r="Q31" s="266"/>
      <c r="R31" s="266"/>
    </row>
    <row r="32" spans="1:18" hidden="1" x14ac:dyDescent="0.25">
      <c r="I32" s="265"/>
      <c r="J32" s="259" t="s">
        <v>308</v>
      </c>
      <c r="K32" s="259"/>
      <c r="L32" s="259"/>
      <c r="M32" s="259"/>
      <c r="N32" s="259"/>
      <c r="O32" s="259"/>
      <c r="P32" s="259"/>
      <c r="Q32" s="259"/>
      <c r="R32" s="259"/>
    </row>
    <row r="33" spans="9:18" hidden="1" x14ac:dyDescent="0.25">
      <c r="I33" s="260" t="s">
        <v>176</v>
      </c>
      <c r="J33" s="261">
        <f>År1</f>
        <v>2019</v>
      </c>
      <c r="K33" s="261">
        <f>År1</f>
        <v>2019</v>
      </c>
      <c r="L33" s="261">
        <f>År1</f>
        <v>2019</v>
      </c>
      <c r="M33" s="261">
        <v>2030</v>
      </c>
      <c r="N33" s="261">
        <v>2030</v>
      </c>
      <c r="O33" s="261">
        <v>2030</v>
      </c>
      <c r="P33" s="261">
        <f>År3</f>
        <v>2050</v>
      </c>
      <c r="Q33" s="261">
        <f>År3</f>
        <v>2050</v>
      </c>
      <c r="R33" s="261">
        <f>År3</f>
        <v>2050</v>
      </c>
    </row>
    <row r="34" spans="9:18" hidden="1" x14ac:dyDescent="0.25">
      <c r="I34" s="260"/>
      <c r="J34" s="261" t="str">
        <f>Jordbund1</f>
        <v>JB1-10</v>
      </c>
      <c r="K34" s="261" t="str">
        <f>Organ6</f>
        <v>OC6</v>
      </c>
      <c r="L34" s="261" t="str">
        <f>Organ12</f>
        <v>OC12</v>
      </c>
      <c r="M34" s="261" t="str">
        <f>Jordbund1</f>
        <v>JB1-10</v>
      </c>
      <c r="N34" s="261" t="str">
        <f>Organ6</f>
        <v>OC6</v>
      </c>
      <c r="O34" s="261" t="str">
        <f>Organ12</f>
        <v>OC12</v>
      </c>
      <c r="P34" s="261" t="str">
        <f>Jordbund1</f>
        <v>JB1-10</v>
      </c>
      <c r="Q34" s="261" t="str">
        <f>Organ6</f>
        <v>OC6</v>
      </c>
      <c r="R34" s="261" t="str">
        <f>Organ12</f>
        <v>OC12</v>
      </c>
    </row>
    <row r="35" spans="9:18" hidden="1" x14ac:dyDescent="0.25">
      <c r="I35" s="262" t="str">
        <f>Bebyg</f>
        <v>Bebyggelse &amp; infrastruktur</v>
      </c>
      <c r="J35" s="268">
        <f>SUMIF([1]Arealanvendelse!$B$15:$B$22,I35,[1]Arealanvendelse!$E$15:$E$22)-SUM(K35:L35)</f>
        <v>178500</v>
      </c>
      <c r="K35" s="268"/>
      <c r="L35" s="268"/>
      <c r="M35" s="271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1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1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1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1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1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2" t="str">
        <f>Afgrøder</f>
        <v>Landbrugsafgrøder</v>
      </c>
      <c r="J36" s="268">
        <f>SUMIF([1]Arealanvendelse!$B$15:$B$22,I36,[1]Arealanvendelse!$E$15:$E$22)-SUM(K36:L36)</f>
        <v>552170.40216985194</v>
      </c>
      <c r="K36" s="268">
        <f>[1]Jordbundstypefordeling!$D$16*[1]Jordbundstypefordeling!$G$4</f>
        <v>9778.158386907593</v>
      </c>
      <c r="L36" s="268">
        <f>[1]Jordbundstypefordeling!$D$15*[1]Jordbundstypefordeling!$G$4</f>
        <v>7611.4394432404806</v>
      </c>
      <c r="M36" s="271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1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1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1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503523.81609739771</v>
      </c>
      <c r="Q36" s="271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1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2" t="str">
        <f>SkovAreal</f>
        <v>Skov</v>
      </c>
      <c r="J37" s="268">
        <f>SUMIF([1]Arealanvendelse!$B$15:$B$22,I37,[1]Arealanvendelse!$E$15:$E$22)-SUM(K37:L37)</f>
        <v>127230</v>
      </c>
      <c r="K37" s="268"/>
      <c r="L37" s="268"/>
      <c r="M37" s="271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1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1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1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175876.58607245423</v>
      </c>
      <c r="Q37" s="271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1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2" t="str">
        <f>NaturAreal</f>
        <v>Natur</v>
      </c>
      <c r="J38" s="268">
        <f>SUMIF([1]Arealanvendelse!$B$15:$B$22,I38,[1]Arealanvendelse!$E$15:$E$22)-SUM(K38:L38)</f>
        <v>71807.284735979716</v>
      </c>
      <c r="K38" s="268">
        <f>([1]Jordbundstypefordeling!$E$16-[1]Jordbundstypefordeling!$D$16)*[1]Jordbundstypefordeling!$G$4</f>
        <v>5983.3355005675821</v>
      </c>
      <c r="L38" s="268">
        <f>([1]Jordbundstypefordeling!$E$15-[1]Jordbundstypefordeling!$D$15)*[1]Jordbundstypefordeling!$G$4</f>
        <v>4939.3797634527136</v>
      </c>
      <c r="M38" s="271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1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1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1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1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1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3" t="str">
        <f>IKareal</f>
        <v>Ikke klassificeret</v>
      </c>
      <c r="J39" s="269">
        <f>SUMIF([1]Arealanvendelse!$B$15:$B$22,I39,[1]Arealanvendelse!$E$15:$E$22)-SUM(K39:L39)</f>
        <v>19220</v>
      </c>
      <c r="K39" s="269"/>
      <c r="L39" s="269"/>
      <c r="M39" s="272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2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2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2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2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2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4" t="s">
        <v>30</v>
      </c>
      <c r="J40" s="270">
        <f t="shared" ref="J40:R40" si="7">SUM(J35:J39)</f>
        <v>948927.68690583168</v>
      </c>
      <c r="K40" s="270">
        <f t="shared" si="7"/>
        <v>15761.493887475175</v>
      </c>
      <c r="L40" s="270">
        <f t="shared" si="7"/>
        <v>12550.819206693195</v>
      </c>
      <c r="M40" s="273">
        <f t="shared" si="7"/>
        <v>948927.68690583168</v>
      </c>
      <c r="N40" s="273">
        <f t="shared" si="7"/>
        <v>15761.493887475175</v>
      </c>
      <c r="O40" s="273">
        <f t="shared" si="7"/>
        <v>12550.819206693195</v>
      </c>
      <c r="P40" s="273">
        <f t="shared" si="7"/>
        <v>948927.68690583168</v>
      </c>
      <c r="Q40" s="273">
        <f t="shared" si="7"/>
        <v>15761.493887475175</v>
      </c>
      <c r="R40" s="273">
        <f t="shared" si="7"/>
        <v>12550.819206693195</v>
      </c>
    </row>
    <row r="41" spans="9:18" hidden="1" x14ac:dyDescent="0.25"/>
  </sheetData>
  <conditionalFormatting sqref="J5:R9">
    <cfRule type="cellIs" dxfId="6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13" sqref="D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9" t="s">
        <v>280</v>
      </c>
    </row>
    <row r="2" spans="1:9" ht="15.75" x14ac:dyDescent="0.25">
      <c r="A2" s="226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0.3</v>
      </c>
      <c r="E5" s="8">
        <v>0.5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0.3</v>
      </c>
      <c r="E6" s="8">
        <v>0.5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0.3</v>
      </c>
      <c r="E7" s="8">
        <f t="shared" ref="D6:E8" si="0">D7+E$5-D$5</f>
        <v>0.5</v>
      </c>
      <c r="F7" s="12" t="s">
        <v>66</v>
      </c>
      <c r="G7" s="12"/>
      <c r="I7" s="114">
        <f>C7+D$5-C$5</f>
        <v>0.33705823403117741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0.3</v>
      </c>
      <c r="E8" s="8">
        <f t="shared" si="0"/>
        <v>0.5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0.75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0.75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2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0.75</v>
      </c>
      <c r="E17" s="3">
        <v>0.9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1"/>
    </row>
    <row r="20" spans="2:11" x14ac:dyDescent="0.25">
      <c r="B20" s="348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9" t="str">
        <f>CONCATENATE("Omlægning til permanent græs, ", Organ6,", hektar")</f>
        <v>Omlægning til permanent græs, OC6, hektar</v>
      </c>
      <c r="C24" s="330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9" t="str">
        <f>CONCATENATE("Omlægning til permanent græs, ", Organ12, ", hektar")</f>
        <v>Omlægning til permanent græs, OC12, hektar</v>
      </c>
      <c r="C25" s="330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9" t="str">
        <f>CONCATENATE("Antal hektar som 1% svarer til, ", Organ6)</f>
        <v>Antal hektar som 1% svarer til, OC6</v>
      </c>
      <c r="C26" s="330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.75" thickBot="1" x14ac:dyDescent="0.3">
      <c r="B27" s="331" t="str">
        <f>CONCATENATE("Antal hektar som 1% svarer til, ", Organ12)</f>
        <v>Antal hektar som 1% svarer til, OC12</v>
      </c>
      <c r="C27" s="332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4" t="s">
        <v>268</v>
      </c>
      <c r="C28" s="235"/>
      <c r="D28" s="233">
        <f>SUM(D24:D25)</f>
        <v>0</v>
      </c>
      <c r="E28" s="233">
        <f>SUM(E24:E25)</f>
        <v>0</v>
      </c>
      <c r="F28" s="328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6" t="s">
        <v>333</v>
      </c>
      <c r="C30" s="25"/>
      <c r="D30" s="25"/>
      <c r="E30" s="25"/>
      <c r="K30" s="12"/>
    </row>
    <row r="31" spans="2:11" x14ac:dyDescent="0.25">
      <c r="B31" s="34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5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5">
        <f>'[1]Afgrødefordeling - jordtype'!$Y5</f>
        <v>3.0976273829928767E-2</v>
      </c>
      <c r="D33" s="90">
        <v>0.115</v>
      </c>
      <c r="E33" s="90">
        <v>0.113</v>
      </c>
      <c r="K33" s="12"/>
    </row>
    <row r="34" spans="2:11" x14ac:dyDescent="0.25">
      <c r="B34" s="2" t="str">
        <f>[1]Afgrødefordeling!$C4</f>
        <v>Raps</v>
      </c>
      <c r="C34" s="325">
        <f>'[1]Afgrødefordeling - jordtype'!$Y6</f>
        <v>6.5329688585482673E-2</v>
      </c>
      <c r="D34" s="90">
        <v>9.0999999999999998E-2</v>
      </c>
      <c r="E34" s="90">
        <v>0.10299999999999999</v>
      </c>
      <c r="K34" s="12"/>
    </row>
    <row r="35" spans="2:11" x14ac:dyDescent="0.25">
      <c r="B35" s="2" t="str">
        <f>[1]Afgrødefordeling!$C5</f>
        <v>Græs</v>
      </c>
      <c r="C35" s="325">
        <f>'[1]Afgrødefordeling - jordtype'!$Y7</f>
        <v>0.10115967422642448</v>
      </c>
      <c r="D35" s="90">
        <v>0.13</v>
      </c>
      <c r="E35" s="90">
        <v>0.09</v>
      </c>
      <c r="K35" s="12"/>
    </row>
    <row r="36" spans="2:11" x14ac:dyDescent="0.25">
      <c r="B36" s="2" t="str">
        <f>[1]Afgrødefordeling!$C6</f>
        <v>Grøntsager</v>
      </c>
      <c r="C36" s="325">
        <f>'[1]Afgrødefordeling - jordtype'!$Y8</f>
        <v>5.2060865589185204E-3</v>
      </c>
      <c r="D36" s="90">
        <v>0.04</v>
      </c>
      <c r="E36" s="90">
        <f t="shared" ref="E33:E44" si="1">D36</f>
        <v>0.04</v>
      </c>
      <c r="K36" s="12"/>
    </row>
    <row r="37" spans="2:11" x14ac:dyDescent="0.25">
      <c r="B37" s="2" t="str">
        <f>[1]Afgrødefordeling!$C7</f>
        <v>Kartofler</v>
      </c>
      <c r="C37" s="325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5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5">
        <f>'[1]Afgrødefordeling - jordtype'!$Y11</f>
        <v>7.2759287296729286E-2</v>
      </c>
      <c r="D39" s="90">
        <v>0.05</v>
      </c>
      <c r="E39" s="90">
        <v>0.04</v>
      </c>
      <c r="K39" s="12"/>
    </row>
    <row r="40" spans="2:11" x14ac:dyDescent="0.25">
      <c r="B40" s="2" t="str">
        <f>[1]Afgrødefordeling!$C10</f>
        <v>Frugt</v>
      </c>
      <c r="C40" s="325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5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5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5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5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5">
        <f>'[1]Afgrødefordeling - jordtype'!$Y17</f>
        <v>7.0772837129970206E-2</v>
      </c>
      <c r="D45" s="90">
        <v>0.05</v>
      </c>
      <c r="E45" s="90">
        <v>0.09</v>
      </c>
      <c r="K45" s="12"/>
    </row>
    <row r="46" spans="2:11" x14ac:dyDescent="0.25">
      <c r="B46" s="25" t="s">
        <v>297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360527.43095829734</v>
      </c>
      <c r="K47" s="12"/>
    </row>
    <row r="48" spans="2:11" x14ac:dyDescent="0.25">
      <c r="B48" s="25" t="s">
        <v>244</v>
      </c>
      <c r="C48" s="109"/>
      <c r="D48" s="115">
        <f>1%*Arealanvendelse!M6</f>
        <v>21496.36</v>
      </c>
      <c r="E48" s="115">
        <f>1%*Arealanvendelse!P6</f>
        <v>18996.36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1">
        <f>C51</f>
        <v>6.475478040220463E-3</v>
      </c>
      <c r="E51" s="211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26" sqref="D26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9" t="s">
        <v>280</v>
      </c>
    </row>
    <row r="2" spans="1:9" ht="15.75" thickBot="1" x14ac:dyDescent="0.3">
      <c r="A2" s="314"/>
      <c r="B2" s="314"/>
      <c r="C2" s="314">
        <f>År1</f>
        <v>2019</v>
      </c>
      <c r="D2" s="314">
        <f>År2</f>
        <v>2030</v>
      </c>
      <c r="E2" s="314">
        <f>År3</f>
        <v>2050</v>
      </c>
      <c r="F2" s="314" t="s">
        <v>324</v>
      </c>
    </row>
    <row r="3" spans="1:9" x14ac:dyDescent="0.25">
      <c r="A3" s="315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3">
        <v>0.4</v>
      </c>
      <c r="E3" s="313">
        <f>D3</f>
        <v>0.4</v>
      </c>
      <c r="I3" s="243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3">
        <v>0</v>
      </c>
      <c r="E4" s="313">
        <v>0</v>
      </c>
      <c r="I4" s="243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3">
        <v>0</v>
      </c>
      <c r="E5" s="313">
        <f t="shared" ref="E4:E17" si="0">D5</f>
        <v>0</v>
      </c>
      <c r="I5" s="243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3">
        <v>0</v>
      </c>
      <c r="E6" s="313">
        <v>0</v>
      </c>
      <c r="I6" s="243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3">
        <v>0.01</v>
      </c>
      <c r="E7" s="313">
        <f t="shared" si="0"/>
        <v>0.01</v>
      </c>
      <c r="I7" s="243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3">
        <v>0.114</v>
      </c>
      <c r="E8" s="313">
        <f t="shared" si="0"/>
        <v>0.114</v>
      </c>
      <c r="I8" s="243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3">
        <v>3.3000000000000002E-2</v>
      </c>
      <c r="E9" s="313">
        <v>4.7E-2</v>
      </c>
      <c r="I9" s="243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3">
        <v>0</v>
      </c>
      <c r="E10" s="313">
        <f t="shared" si="0"/>
        <v>0</v>
      </c>
      <c r="I10" s="243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3">
        <v>0</v>
      </c>
      <c r="E11" s="313">
        <f t="shared" si="0"/>
        <v>0</v>
      </c>
      <c r="I11" s="243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3">
        <v>0.155</v>
      </c>
      <c r="E12" s="313">
        <f t="shared" si="0"/>
        <v>0.155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3">
        <v>1.0999999999999999E-2</v>
      </c>
      <c r="E13" s="313">
        <v>1.0999999999999999E-2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2.5000000000000001E-2</v>
      </c>
      <c r="E14" s="119">
        <f>ROUND('[1]Processer - data'!J$469/'[1]Processer - data'!J$468*E15*'[1]Processer - data'!$H$429/'[1]Processer - data'!$H$430,3)</f>
        <v>4.8000000000000001E-2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3">
        <v>0.108</v>
      </c>
      <c r="E15" s="313">
        <v>0.20699999999999999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3">
        <v>8.0000000000000002E-3</v>
      </c>
      <c r="E16" s="313">
        <v>8.0000000000000002E-3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3">
        <f>C17/2</f>
        <v>0.13564027900047404</v>
      </c>
      <c r="E17" s="313">
        <v>0</v>
      </c>
      <c r="F17" s="314"/>
    </row>
    <row r="18" spans="1:6" ht="15.75" thickBot="1" x14ac:dyDescent="0.3">
      <c r="A18" s="244" t="s">
        <v>30</v>
      </c>
      <c r="B18" s="244" t="s">
        <v>134</v>
      </c>
      <c r="C18" s="120">
        <f>ROUND(SUM(C3:C17),1)</f>
        <v>1</v>
      </c>
      <c r="D18" s="120">
        <f>ROUND(SUM(D3:D17),1)</f>
        <v>1</v>
      </c>
      <c r="E18" s="120">
        <f>ROUND(SUM(E3:E17),1)</f>
        <v>1</v>
      </c>
      <c r="F18" s="317" t="s">
        <v>326</v>
      </c>
    </row>
  </sheetData>
  <conditionalFormatting sqref="C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abSelected="1" zoomScale="85" zoomScaleNormal="85" workbookViewId="0">
      <selection activeCell="C13" sqref="C13:D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8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3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4" t="s">
        <v>181</v>
      </c>
      <c r="B17" s="335">
        <v>0</v>
      </c>
      <c r="C17" s="338">
        <v>0</v>
      </c>
      <c r="D17" s="338">
        <v>0</v>
      </c>
    </row>
    <row r="18" spans="1:8" ht="15.75" thickBot="1" x14ac:dyDescent="0.3">
      <c r="A18" s="336" t="s">
        <v>30</v>
      </c>
      <c r="B18" s="337"/>
      <c r="C18" s="337">
        <f>SUM(C13:C17)</f>
        <v>1</v>
      </c>
      <c r="D18" s="337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5"/>
      <c r="B20" s="315"/>
      <c r="C20" s="315" t="s">
        <v>23</v>
      </c>
      <c r="D20" s="315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3" t="s">
        <v>186</v>
      </c>
      <c r="C21" s="183">
        <f>År1</f>
        <v>2019</v>
      </c>
      <c r="D21" s="183">
        <f>År2</f>
        <v>2030</v>
      </c>
      <c r="E21" s="183">
        <f>År3</f>
        <v>2050</v>
      </c>
      <c r="F21" s="183">
        <f>År1</f>
        <v>2019</v>
      </c>
      <c r="G21" s="183">
        <f>År2</f>
        <v>2030</v>
      </c>
      <c r="H21" s="183">
        <f>År3</f>
        <v>2050</v>
      </c>
    </row>
    <row r="22" spans="1:8" hidden="1" x14ac:dyDescent="0.25">
      <c r="A22" s="2" t="s">
        <v>183</v>
      </c>
      <c r="B22" s="184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5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33114.421431902359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4476.079861533899</v>
      </c>
    </row>
    <row r="24" spans="1:8" hidden="1" x14ac:dyDescent="0.25">
      <c r="A24" s="2" t="s">
        <v>177</v>
      </c>
      <c r="B24" s="185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33114.421431902359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4476.079861533899</v>
      </c>
    </row>
    <row r="25" spans="1:8" hidden="1" x14ac:dyDescent="0.25">
      <c r="A25" s="2" t="s">
        <v>177</v>
      </c>
      <c r="B25" s="185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56589.718580969005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7079.2272378551706</v>
      </c>
    </row>
    <row r="26" spans="1:8" hidden="1" x14ac:dyDescent="0.25">
      <c r="A26" s="2" t="s">
        <v>177</v>
      </c>
      <c r="B26" s="186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5658.9718580969002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707.92272378551706</v>
      </c>
    </row>
    <row r="27" spans="1:8" hidden="1" x14ac:dyDescent="0.25">
      <c r="A27" s="2" t="s">
        <v>178</v>
      </c>
      <c r="B27" s="185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33114.421431902359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4476.079861533899</v>
      </c>
    </row>
    <row r="28" spans="1:8" hidden="1" x14ac:dyDescent="0.25">
      <c r="A28" s="2" t="s">
        <v>178</v>
      </c>
      <c r="B28" s="185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33114.421431902359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4476.079861533899</v>
      </c>
    </row>
    <row r="29" spans="1:8" hidden="1" x14ac:dyDescent="0.25">
      <c r="A29" s="2" t="s">
        <v>178</v>
      </c>
      <c r="B29" s="185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56589.718580969005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7079.2272378551706</v>
      </c>
    </row>
    <row r="30" spans="1:8" hidden="1" x14ac:dyDescent="0.25">
      <c r="A30" s="2" t="s">
        <v>178</v>
      </c>
      <c r="B30" s="186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5658.9718580969002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707.92272378551706</v>
      </c>
    </row>
    <row r="31" spans="1:8" hidden="1" x14ac:dyDescent="0.25">
      <c r="A31" s="2" t="s">
        <v>179</v>
      </c>
      <c r="B31" s="185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33114.421431902359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4476.079861533899</v>
      </c>
    </row>
    <row r="32" spans="1:8" hidden="1" x14ac:dyDescent="0.25">
      <c r="A32" s="2" t="s">
        <v>179</v>
      </c>
      <c r="B32" s="185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33114.421431902359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4476.079861533899</v>
      </c>
    </row>
    <row r="33" spans="1:10" hidden="1" x14ac:dyDescent="0.25">
      <c r="A33" s="2" t="s">
        <v>179</v>
      </c>
      <c r="B33" s="185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56589.718580969005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7079.2272378551706</v>
      </c>
    </row>
    <row r="34" spans="1:10" hidden="1" x14ac:dyDescent="0.25">
      <c r="A34" s="2" t="s">
        <v>179</v>
      </c>
      <c r="B34" s="186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5658.9718580969002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707.92272378551706</v>
      </c>
    </row>
    <row r="35" spans="1:10" hidden="1" x14ac:dyDescent="0.25">
      <c r="A35" s="2" t="s">
        <v>180</v>
      </c>
      <c r="B35" s="185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33114.421431902359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4476.079861533899</v>
      </c>
    </row>
    <row r="36" spans="1:10" hidden="1" x14ac:dyDescent="0.25">
      <c r="A36" s="2" t="s">
        <v>180</v>
      </c>
      <c r="B36" s="185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33114.421431902359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4476.079861533899</v>
      </c>
    </row>
    <row r="37" spans="1:10" hidden="1" x14ac:dyDescent="0.25">
      <c r="A37" s="2" t="s">
        <v>180</v>
      </c>
      <c r="B37" s="185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56589.718580969005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7079.2272378551706</v>
      </c>
    </row>
    <row r="38" spans="1:10" hidden="1" x14ac:dyDescent="0.25">
      <c r="A38" s="2" t="s">
        <v>180</v>
      </c>
      <c r="B38" s="186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5658.9718580969002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707.92272378551706</v>
      </c>
    </row>
    <row r="39" spans="1:10" hidden="1" x14ac:dyDescent="0.25">
      <c r="A39" s="2" t="s">
        <v>181</v>
      </c>
      <c r="B39" s="185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5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5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2"/>
    </row>
    <row r="44" spans="1:10" hidden="1" x14ac:dyDescent="0.25">
      <c r="B44" s="152"/>
    </row>
    <row r="45" spans="1:10" hidden="1" x14ac:dyDescent="0.25">
      <c r="B45" s="152"/>
    </row>
    <row r="46" spans="1:10" hidden="1" x14ac:dyDescent="0.25"/>
    <row r="47" spans="1:10" hidden="1" x14ac:dyDescent="0.25">
      <c r="A47" s="349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50"/>
      <c r="B48" s="183">
        <f>År1</f>
        <v>2019</v>
      </c>
      <c r="C48" s="183">
        <f>År2</f>
        <v>2030</v>
      </c>
      <c r="D48" s="183">
        <f>År3</f>
        <v>2050</v>
      </c>
      <c r="E48" s="183">
        <f>År1</f>
        <v>2019</v>
      </c>
      <c r="F48" s="183">
        <f>År2</f>
        <v>2030</v>
      </c>
      <c r="G48" s="183">
        <f>År3</f>
        <v>2050</v>
      </c>
      <c r="H48" s="183">
        <f>År1</f>
        <v>2019</v>
      </c>
      <c r="I48" s="183">
        <f>År2</f>
        <v>2030</v>
      </c>
      <c r="J48" s="183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62248.690439065904</v>
      </c>
      <c r="D50" s="109">
        <f t="shared" si="0"/>
        <v>128477.53330287062</v>
      </c>
      <c r="E50" s="109">
        <f t="shared" si="0"/>
        <v>0</v>
      </c>
      <c r="F50" s="109">
        <f t="shared" si="0"/>
        <v>7787.1499616406873</v>
      </c>
      <c r="G50" s="109">
        <f t="shared" si="0"/>
        <v>16739.309684708485</v>
      </c>
      <c r="H50" s="109">
        <f t="shared" ref="H50:H54" si="2">SUM(B50,E50)</f>
        <v>0</v>
      </c>
      <c r="I50" s="109">
        <f t="shared" si="1"/>
        <v>70035.840400706598</v>
      </c>
      <c r="J50" s="109">
        <f t="shared" si="1"/>
        <v>145216.84298757912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62248.690439065904</v>
      </c>
      <c r="D51" s="109">
        <f t="shared" si="0"/>
        <v>128477.53330287062</v>
      </c>
      <c r="E51" s="109">
        <f t="shared" si="0"/>
        <v>0</v>
      </c>
      <c r="F51" s="109">
        <f t="shared" si="0"/>
        <v>7787.1499616406873</v>
      </c>
      <c r="G51" s="109">
        <f t="shared" si="0"/>
        <v>16739.309684708485</v>
      </c>
      <c r="H51" s="109">
        <f t="shared" si="2"/>
        <v>0</v>
      </c>
      <c r="I51" s="109">
        <f t="shared" si="1"/>
        <v>70035.840400706598</v>
      </c>
      <c r="J51" s="109">
        <f t="shared" si="1"/>
        <v>145216.84298757912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62248.690439065904</v>
      </c>
      <c r="D52" s="109">
        <f t="shared" si="0"/>
        <v>128477.53330287062</v>
      </c>
      <c r="E52" s="109">
        <f t="shared" si="0"/>
        <v>0</v>
      </c>
      <c r="F52" s="109">
        <f t="shared" si="0"/>
        <v>7787.1499616406873</v>
      </c>
      <c r="G52" s="109">
        <f t="shared" si="0"/>
        <v>16739.309684708485</v>
      </c>
      <c r="H52" s="109">
        <f t="shared" si="2"/>
        <v>0</v>
      </c>
      <c r="I52" s="109">
        <f t="shared" si="1"/>
        <v>70035.840400706598</v>
      </c>
      <c r="J52" s="109">
        <f t="shared" si="1"/>
        <v>145216.84298757912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62248.690439065904</v>
      </c>
      <c r="D53" s="109">
        <f t="shared" si="0"/>
        <v>128477.53330287062</v>
      </c>
      <c r="E53" s="109">
        <f t="shared" si="0"/>
        <v>0</v>
      </c>
      <c r="F53" s="109">
        <f t="shared" si="0"/>
        <v>7787.1499616406873</v>
      </c>
      <c r="G53" s="109">
        <f t="shared" si="0"/>
        <v>16739.309684708485</v>
      </c>
      <c r="H53" s="109">
        <f t="shared" si="2"/>
        <v>0</v>
      </c>
      <c r="I53" s="109">
        <f t="shared" si="1"/>
        <v>70035.840400706598</v>
      </c>
      <c r="J53" s="109">
        <f t="shared" si="1"/>
        <v>145216.84298757912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9" t="s">
        <v>120</v>
      </c>
      <c r="B60" s="335">
        <f>'[1]Processer - data'!$H403</f>
        <v>0.52</v>
      </c>
      <c r="C60" s="338">
        <f>B60</f>
        <v>0.52</v>
      </c>
      <c r="D60" s="338">
        <f>C60</f>
        <v>0.52</v>
      </c>
    </row>
    <row r="61" spans="1:10" ht="15.75" thickBot="1" x14ac:dyDescent="0.3">
      <c r="A61" s="336" t="s">
        <v>30</v>
      </c>
      <c r="B61" s="337">
        <f>SUM(B59:B60)</f>
        <v>1</v>
      </c>
      <c r="C61" s="337">
        <f t="shared" ref="C61:D61" si="3">SUM(C59:C60)</f>
        <v>1</v>
      </c>
      <c r="D61" s="337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I13"/>
  <sheetViews>
    <sheetView workbookViewId="0">
      <selection activeCell="I4" sqref="I4:I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9" x14ac:dyDescent="0.25">
      <c r="A1" s="318" t="s">
        <v>280</v>
      </c>
      <c r="F1" s="75" t="s">
        <v>243</v>
      </c>
    </row>
    <row r="2" spans="1:9" s="322" customFormat="1" x14ac:dyDescent="0.25">
      <c r="A2" s="321"/>
      <c r="C2" s="351" t="s">
        <v>327</v>
      </c>
      <c r="D2" s="351"/>
      <c r="E2" s="351"/>
    </row>
    <row r="3" spans="1:9" s="12" customFormat="1" x14ac:dyDescent="0.25">
      <c r="B3" s="326"/>
      <c r="C3" s="2">
        <f>År1</f>
        <v>2019</v>
      </c>
      <c r="D3" s="2">
        <f>År2</f>
        <v>2030</v>
      </c>
      <c r="E3" s="2">
        <f>År3</f>
        <v>2050</v>
      </c>
      <c r="F3" s="327" t="s">
        <v>328</v>
      </c>
      <c r="G3" s="12" t="s">
        <v>324</v>
      </c>
    </row>
    <row r="4" spans="1:9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0.1</v>
      </c>
      <c r="E4" s="8">
        <v>0.75</v>
      </c>
      <c r="F4" s="323">
        <f>(9.6+43.4+265+84.7+55.6+112.4+6.1+10.5+121.4+27.4+89.4+13.5+12.6+0.4+218.5+0.9+3.9+3.4+5+0.4)*100</f>
        <v>108410.00000000003</v>
      </c>
      <c r="G4" s="352" t="s">
        <v>329</v>
      </c>
      <c r="H4" s="12">
        <f>D4*$F4</f>
        <v>10841.000000000004</v>
      </c>
      <c r="I4" s="12">
        <f t="shared" ref="I4:I7" si="0">E4*$F4</f>
        <v>81307.500000000029</v>
      </c>
    </row>
    <row r="5" spans="1:9" s="12" customFormat="1" x14ac:dyDescent="0.25">
      <c r="A5" s="108" t="s">
        <v>99</v>
      </c>
      <c r="B5" s="2" t="s">
        <v>24</v>
      </c>
      <c r="C5" s="324">
        <f>(0.6)/F5</f>
        <v>2.2156573116691284E-5</v>
      </c>
      <c r="D5" s="3">
        <v>0.1</v>
      </c>
      <c r="E5" s="8">
        <v>0.75</v>
      </c>
      <c r="F5" s="110">
        <f>(207.3+16.1+47.4)*100</f>
        <v>27080</v>
      </c>
      <c r="G5" s="352"/>
      <c r="H5" s="12">
        <f t="shared" ref="H5:H7" si="1">D5*$F5</f>
        <v>2708</v>
      </c>
      <c r="I5" s="12">
        <f t="shared" si="0"/>
        <v>20310</v>
      </c>
    </row>
    <row r="6" spans="1:9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0.1</v>
      </c>
      <c r="E6" s="3">
        <v>0.75</v>
      </c>
      <c r="F6" s="323">
        <v>600</v>
      </c>
      <c r="G6" s="353" t="s">
        <v>241</v>
      </c>
      <c r="H6" s="12">
        <f t="shared" si="1"/>
        <v>60</v>
      </c>
      <c r="I6" s="12">
        <f t="shared" si="0"/>
        <v>450</v>
      </c>
    </row>
    <row r="7" spans="1:9" s="12" customFormat="1" x14ac:dyDescent="0.25">
      <c r="A7" s="108" t="s">
        <v>100</v>
      </c>
      <c r="B7" s="2" t="s">
        <v>24</v>
      </c>
      <c r="C7" s="86">
        <f>0/F7</f>
        <v>0</v>
      </c>
      <c r="D7" s="8">
        <v>0.1</v>
      </c>
      <c r="E7" s="3">
        <v>0.75</v>
      </c>
      <c r="F7" s="323">
        <v>200</v>
      </c>
      <c r="G7" s="353"/>
      <c r="H7" s="12">
        <f t="shared" si="1"/>
        <v>20</v>
      </c>
      <c r="I7" s="12">
        <f t="shared" si="0"/>
        <v>150</v>
      </c>
    </row>
    <row r="8" spans="1:9" s="12" customFormat="1" x14ac:dyDescent="0.25">
      <c r="A8" s="319"/>
      <c r="C8" s="12" t="s">
        <v>242</v>
      </c>
      <c r="F8" s="320"/>
    </row>
    <row r="9" spans="1:9" x14ac:dyDescent="0.25">
      <c r="A9" s="319"/>
      <c r="B9" s="12"/>
      <c r="C9" s="12"/>
      <c r="D9" s="12"/>
      <c r="E9" s="12"/>
    </row>
    <row r="10" spans="1:9" x14ac:dyDescent="0.25">
      <c r="B10" s="1" t="s">
        <v>23</v>
      </c>
      <c r="E10" s="1" t="s">
        <v>24</v>
      </c>
    </row>
    <row r="11" spans="1:9" x14ac:dyDescent="0.25">
      <c r="B11" s="153">
        <f>År1</f>
        <v>2019</v>
      </c>
      <c r="C11" s="153">
        <f>År2</f>
        <v>2030</v>
      </c>
      <c r="D11" s="153">
        <f>År3</f>
        <v>2050</v>
      </c>
      <c r="E11" s="153">
        <f>År1</f>
        <v>2019</v>
      </c>
      <c r="F11" s="153">
        <f>År2</f>
        <v>2030</v>
      </c>
      <c r="G11" s="153">
        <f>År3</f>
        <v>2050</v>
      </c>
    </row>
    <row r="12" spans="1:9" x14ac:dyDescent="0.25">
      <c r="A12" s="108" t="s">
        <v>99</v>
      </c>
      <c r="B12" s="1">
        <f>C4*$F4</f>
        <v>440.29999999999995</v>
      </c>
      <c r="C12" s="1">
        <f t="shared" ref="C12:D12" si="2">D4*$F4</f>
        <v>10841.000000000004</v>
      </c>
      <c r="D12" s="1">
        <f t="shared" si="2"/>
        <v>81307.500000000029</v>
      </c>
      <c r="E12" s="1">
        <f>C5*$F$5</f>
        <v>0.6</v>
      </c>
      <c r="F12" s="1">
        <f t="shared" ref="F12:G12" si="3">D5*$F$5</f>
        <v>2708</v>
      </c>
      <c r="G12" s="1">
        <f t="shared" si="3"/>
        <v>20310</v>
      </c>
    </row>
    <row r="13" spans="1:9" x14ac:dyDescent="0.25">
      <c r="A13" s="108" t="s">
        <v>100</v>
      </c>
      <c r="B13" s="1">
        <f>C6*$F6</f>
        <v>17</v>
      </c>
      <c r="C13" s="1">
        <f t="shared" ref="C13:D13" si="4">D6*$F6</f>
        <v>60</v>
      </c>
      <c r="D13" s="1">
        <f t="shared" si="4"/>
        <v>450</v>
      </c>
      <c r="E13" s="1">
        <f>C7*$F$7</f>
        <v>0</v>
      </c>
      <c r="F13" s="1">
        <f t="shared" ref="F13:G13" si="5">D7*$F$7</f>
        <v>20</v>
      </c>
      <c r="G13" s="1">
        <f t="shared" si="5"/>
        <v>150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D13" sqref="D13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8" t="s">
        <v>280</v>
      </c>
    </row>
    <row r="2" spans="1:10" ht="15.75" x14ac:dyDescent="0.25">
      <c r="A2" s="226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>
        <v>0.2</v>
      </c>
      <c r="D5" s="3">
        <v>0.5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817971.94534569292</v>
      </c>
      <c r="J5" s="10">
        <f>SUMIFS('Resultat-Produktion &amp; forbrug'!$N$3:$N$1000,'Resultat-Produktion &amp; forbrug'!$A$3:$A$1000,Adfærd!$G5,'Resultat-Produktion &amp; forbrug'!$D$3:$D$1000,Adfærd!J$4)</f>
        <v>485996.40235160722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27045.758448627814</v>
      </c>
      <c r="J6" s="10">
        <f>SUMIFS('Resultat-Produktion &amp; forbrug'!$N$3:$N$1000,'Resultat-Produktion &amp; forbrug'!$A$3:$A$1000,Adfærd!$G6,'Resultat-Produktion &amp; forbrug'!$D$3:$D$1000,Adfærd!J$4)</f>
        <v>202843.18836470862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1800</v>
      </c>
      <c r="J7" s="10">
        <f>SUMIFS('Resultat-Produktion &amp; forbrug'!$N$3:$N$1000,'Resultat-Produktion &amp; forbrug'!$A$3:$A$1000,Adfærd!$G7,'Resultat-Produktion &amp; forbrug'!$D$3:$D$1000,Adfærd!J$4)</f>
        <v>13500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v>0.1</v>
      </c>
      <c r="D12" s="3">
        <v>7.0000000000000007E-2</v>
      </c>
    </row>
    <row r="13" spans="1:10" x14ac:dyDescent="0.25">
      <c r="A13" s="182" t="s">
        <v>331</v>
      </c>
      <c r="B13" s="87">
        <v>0.32862000000000002</v>
      </c>
      <c r="C13" s="3">
        <v>0.5</v>
      </c>
      <c r="D13" s="3">
        <v>0.75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44.89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22.11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80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13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1" t="s">
        <v>30</v>
      </c>
      <c r="B31" s="310">
        <f>SUM(B17:B30)</f>
        <v>1267</v>
      </c>
      <c r="C31" s="310">
        <f>SUM(C17:C30)</f>
        <v>1267</v>
      </c>
      <c r="D31" s="310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3" sqref="D3:D8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7" t="s">
        <v>280</v>
      </c>
    </row>
    <row r="2" spans="1:29" ht="46.5" customHeight="1" x14ac:dyDescent="0.2">
      <c r="A2" s="231" t="s">
        <v>139</v>
      </c>
      <c r="B2" s="231">
        <f>År1</f>
        <v>2019</v>
      </c>
      <c r="C2" s="231">
        <f>År2</f>
        <v>2030</v>
      </c>
      <c r="D2" s="231">
        <f>År3</f>
        <v>2050</v>
      </c>
      <c r="E2" s="122"/>
      <c r="F2" s="357" t="s">
        <v>335</v>
      </c>
      <c r="G2" s="358"/>
      <c r="M2" s="123"/>
      <c r="Z2" s="121" t="s">
        <v>151</v>
      </c>
      <c r="AA2" s="122">
        <f>År1</f>
        <v>2019</v>
      </c>
      <c r="AB2" s="122">
        <f>År2</f>
        <v>2030</v>
      </c>
      <c r="AC2" s="122">
        <f>År3</f>
        <v>2050</v>
      </c>
    </row>
    <row r="3" spans="1:29" x14ac:dyDescent="0.2">
      <c r="A3" s="179" t="s">
        <v>136</v>
      </c>
      <c r="B3" s="232">
        <f>N12/SUMIFS('Resultater - Danmark'!H$3:H$482,'Resultater - Danmark'!$F$3:$F$482,$A3)</f>
        <v>0.16508293217043288</v>
      </c>
      <c r="C3" s="180">
        <v>0.65</v>
      </c>
      <c r="D3" s="180">
        <v>0.9</v>
      </c>
      <c r="E3" s="157" t="s">
        <v>340</v>
      </c>
      <c r="F3" s="173" t="s">
        <v>104</v>
      </c>
      <c r="G3" s="174">
        <v>0.85</v>
      </c>
      <c r="H3" s="149"/>
      <c r="N3" s="247"/>
      <c r="Z3" s="124" t="s">
        <v>111</v>
      </c>
      <c r="AA3" s="125">
        <f>SUM(C12:C14)/SUM(C12:C15)</f>
        <v>0.73155031690147754</v>
      </c>
      <c r="AB3" s="125">
        <f>SUM(D12:D14)/SUM(D12:D15)</f>
        <v>0.72773695296197516</v>
      </c>
      <c r="AC3" s="125">
        <f>SUM(E12:E14)/SUM(E12:E15)</f>
        <v>0.58111427306368946</v>
      </c>
    </row>
    <row r="4" spans="1:29" x14ac:dyDescent="0.2">
      <c r="A4" s="179" t="s">
        <v>137</v>
      </c>
      <c r="B4" s="232">
        <f>N13/SUMIFS('Resultater - Danmark'!H$3:H$482,'Resultater - Danmark'!$F$3:$F$482,$A4)</f>
        <v>0.30985833926453143</v>
      </c>
      <c r="C4" s="180">
        <v>0.65</v>
      </c>
      <c r="D4" s="180">
        <v>0.9</v>
      </c>
      <c r="E4" s="157" t="s">
        <v>340</v>
      </c>
      <c r="F4" s="173"/>
      <c r="G4" s="174"/>
      <c r="N4" s="247"/>
      <c r="Z4" s="123" t="s">
        <v>203</v>
      </c>
    </row>
    <row r="5" spans="1:29" x14ac:dyDescent="0.2">
      <c r="A5" s="179" t="s">
        <v>138</v>
      </c>
      <c r="B5" s="232">
        <v>0.5</v>
      </c>
      <c r="C5" s="180">
        <v>0.65</v>
      </c>
      <c r="D5" s="180">
        <v>0.9</v>
      </c>
      <c r="E5" s="157" t="s">
        <v>340</v>
      </c>
      <c r="F5" s="173"/>
      <c r="G5" s="174"/>
      <c r="H5" s="126"/>
      <c r="N5" s="247"/>
      <c r="Z5" s="124" t="s">
        <v>136</v>
      </c>
      <c r="AA5" s="146">
        <f t="shared" ref="AA5:AC6" si="0">C12/C$29</f>
        <v>0.22267199142680771</v>
      </c>
      <c r="AB5" s="146">
        <f t="shared" si="0"/>
        <v>0.28459808584783236</v>
      </c>
      <c r="AC5" s="146">
        <f t="shared" si="0"/>
        <v>0.19087059628597514</v>
      </c>
    </row>
    <row r="6" spans="1:29" x14ac:dyDescent="0.2">
      <c r="A6" s="179" t="s">
        <v>141</v>
      </c>
      <c r="B6" s="232">
        <f>N15/SUMIFS('Resultater - Danmark'!H$3:H$482,'Resultater - Danmark'!$F$3:$F$482,$A6)</f>
        <v>0.37924884410556858</v>
      </c>
      <c r="C6" s="180">
        <v>0.65</v>
      </c>
      <c r="D6" s="180">
        <v>0.9</v>
      </c>
      <c r="E6" s="157"/>
      <c r="F6" s="173"/>
      <c r="G6" s="174"/>
      <c r="H6" s="127"/>
      <c r="Z6" s="128" t="s">
        <v>137</v>
      </c>
      <c r="AA6" s="146">
        <f t="shared" si="0"/>
        <v>0.33257225498473725</v>
      </c>
      <c r="AB6" s="146">
        <f t="shared" si="0"/>
        <v>0.28863462901705811</v>
      </c>
      <c r="AC6" s="146">
        <f t="shared" si="0"/>
        <v>0.24343102373871398</v>
      </c>
    </row>
    <row r="7" spans="1:29" x14ac:dyDescent="0.2">
      <c r="A7" s="179" t="s">
        <v>102</v>
      </c>
      <c r="B7" s="232">
        <f>N16/SUMIFS('Resultater - Danmark'!H$3:H$482,'Resultater - Danmark'!$F$3:$F$482,$A7)</f>
        <v>0.25812101313640656</v>
      </c>
      <c r="C7" s="180">
        <v>0.65</v>
      </c>
      <c r="D7" s="180">
        <v>0.9</v>
      </c>
      <c r="F7" s="173"/>
      <c r="G7" s="175"/>
      <c r="N7" s="158"/>
    </row>
    <row r="8" spans="1:29" ht="12.75" thickBot="1" x14ac:dyDescent="0.25">
      <c r="A8" s="179" t="s">
        <v>209</v>
      </c>
      <c r="B8" s="232">
        <v>0</v>
      </c>
      <c r="C8" s="180">
        <v>0.65</v>
      </c>
      <c r="D8" s="180">
        <v>0.9</v>
      </c>
      <c r="F8" s="176"/>
      <c r="G8" s="177"/>
      <c r="I8" s="158"/>
    </row>
    <row r="10" spans="1:29" ht="23.45" customHeight="1" x14ac:dyDescent="0.2">
      <c r="A10" s="128"/>
      <c r="B10" s="129"/>
      <c r="C10" s="355" t="s">
        <v>211</v>
      </c>
      <c r="D10" s="355"/>
      <c r="E10" s="355"/>
      <c r="F10" s="354" t="s">
        <v>336</v>
      </c>
      <c r="G10" s="354"/>
      <c r="J10" s="356" t="s">
        <v>212</v>
      </c>
      <c r="K10" s="356"/>
      <c r="L10" s="356"/>
    </row>
    <row r="11" spans="1:29" x14ac:dyDescent="0.2">
      <c r="C11" s="130">
        <f>År1</f>
        <v>2019</v>
      </c>
      <c r="D11" s="130">
        <f>År2</f>
        <v>2030</v>
      </c>
      <c r="E11" s="130">
        <f>År3</f>
        <v>2050</v>
      </c>
      <c r="F11" s="130">
        <v>2030</v>
      </c>
      <c r="G11" s="130">
        <v>2050</v>
      </c>
      <c r="H11" s="130" t="s">
        <v>106</v>
      </c>
      <c r="I11" s="130" t="s">
        <v>145</v>
      </c>
      <c r="J11" s="130">
        <f>År1</f>
        <v>2019</v>
      </c>
      <c r="K11" s="130">
        <f>År2</f>
        <v>2030</v>
      </c>
      <c r="L11" s="130">
        <f>År3</f>
        <v>2050</v>
      </c>
      <c r="M11" s="123" t="s">
        <v>215</v>
      </c>
    </row>
    <row r="12" spans="1:29" x14ac:dyDescent="0.2">
      <c r="A12" s="131" t="s">
        <v>136</v>
      </c>
      <c r="B12" s="131" t="s">
        <v>140</v>
      </c>
      <c r="C12" s="132">
        <f>SUMIFS('Resultater - Danmark'!H$3:H$482,'Resultater - Danmark'!$F$3:$F$482,$A12)*B3</f>
        <v>2914869.3333333335</v>
      </c>
      <c r="D12" s="132">
        <f>SUMIFS('Resultater - Danmark'!I$3:I$482,'Resultater - Danmark'!$F$3:$F$482,$A12)*C3</f>
        <v>6275961.2089073332</v>
      </c>
      <c r="E12" s="132">
        <f>SUMIFS('Resultater - Danmark'!J$3:J$482,'Resultater - Danmark'!$F$3:$F$482,$A12)*D3</f>
        <v>4137996.4014773625</v>
      </c>
      <c r="F12" s="240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3379363.7278731791</v>
      </c>
      <c r="G12" s="240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459777.37794192927</v>
      </c>
      <c r="H12" s="133">
        <f>VLOOKUP(A12,[1]Biogasudbytte!$A$2:$C$18,3,FALSE)</f>
        <v>0.05</v>
      </c>
      <c r="I12" s="134">
        <f>VLOOKUP(A12,[1]Biogasudbytte!$A$2:$C$18,2,FALSE)*IFERROR(VLOOKUP(A12,$F$3:$G$8,2,FALSE),1)</f>
        <v>12</v>
      </c>
      <c r="J12" s="133">
        <f t="shared" ref="J12:J28" si="1">C12/C$29</f>
        <v>0.22267199142680771</v>
      </c>
      <c r="K12" s="133">
        <f t="shared" ref="K12:K28" si="2">D12/D$29</f>
        <v>0.28459808584783236</v>
      </c>
      <c r="L12" s="133">
        <f t="shared" ref="L12:L28" si="3">E12/E$29</f>
        <v>0.19087059628597514</v>
      </c>
      <c r="M12" s="124" t="s">
        <v>213</v>
      </c>
      <c r="N12" s="124">
        <f>S12+2/3*T12</f>
        <v>2914869.3333333335</v>
      </c>
      <c r="O12" s="151">
        <f t="shared" ref="O12:O16" si="4">N12-C12</f>
        <v>0</v>
      </c>
      <c r="P12" s="140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1"/>
      <c r="Z12" s="151"/>
      <c r="AA12" s="151"/>
    </row>
    <row r="13" spans="1:29" x14ac:dyDescent="0.2">
      <c r="A13" s="126" t="s">
        <v>137</v>
      </c>
      <c r="B13" s="126" t="s">
        <v>140</v>
      </c>
      <c r="C13" s="135">
        <f>SUMIFS('Resultater - Danmark'!H$3:H$482,'Resultater - Danmark'!$F$3:$F$482,$A13)*B4</f>
        <v>4353509.666666667</v>
      </c>
      <c r="D13" s="135">
        <f>SUMIFS('Resultater - Danmark'!I$3:I$482,'Resultater - Danmark'!$F$3:$F$482,$A13)*C4</f>
        <v>6364975.1187257059</v>
      </c>
      <c r="E13" s="135">
        <f>SUMIFS('Resultater - Danmark'!J$3:J$482,'Resultater - Danmark'!$F$3:$F$482,$A13)*D4</f>
        <v>5277484.9549352238</v>
      </c>
      <c r="F13" s="241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3427294.2946984563</v>
      </c>
      <c r="G13" s="241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586387.21721502487</v>
      </c>
      <c r="H13" s="136">
        <f>VLOOKUP(A13,[1]Biogasudbytte!$A$2:$C$18,3,FALSE)</f>
        <v>7.5999999999999998E-2</v>
      </c>
      <c r="I13" s="137">
        <f>VLOOKUP(A13,[1]Biogasudbytte!$A$2:$C$18,2,FALSE)*IFERROR(VLOOKUP(A13,$F$3:$G$8,2,FALSE),1)</f>
        <v>14.1</v>
      </c>
      <c r="J13" s="136">
        <f t="shared" si="1"/>
        <v>0.33257225498473725</v>
      </c>
      <c r="K13" s="136">
        <f t="shared" si="2"/>
        <v>0.28863462901705811</v>
      </c>
      <c r="L13" s="136">
        <f t="shared" si="3"/>
        <v>0.24343102373871398</v>
      </c>
      <c r="M13" s="124" t="s">
        <v>214</v>
      </c>
      <c r="N13" s="124">
        <f>S13+1/3*T13</f>
        <v>4353509.666666667</v>
      </c>
      <c r="O13" s="151">
        <f t="shared" si="4"/>
        <v>0</v>
      </c>
      <c r="P13" s="140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6" t="s">
        <v>138</v>
      </c>
      <c r="B14" s="126" t="s">
        <v>140</v>
      </c>
      <c r="C14" s="135">
        <f>SUMIFS('Resultater - Danmark'!H$3:H$482,'Resultater - Danmark'!$F$3:$F$482,$A14)*B5</f>
        <v>4441.5</v>
      </c>
      <c r="D14" s="135">
        <f>SUMIFS('Resultater - Danmark'!I$3:I$482,'Resultater - Danmark'!$F$3:$F$482,$A14)*C5</f>
        <v>6532.5849353972917</v>
      </c>
      <c r="E14" s="135">
        <f>SUMIFS('Resultater - Danmark'!J$3:J$482,'Resultater - Danmark'!$F$3:$F$482,$A14)*D5</f>
        <v>10375.776869044654</v>
      </c>
      <c r="F14" s="241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3517.545734444695</v>
      </c>
      <c r="G14" s="241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1152.8640965605173</v>
      </c>
      <c r="H14" s="136">
        <f>VLOOKUP(A14,[1]Biogasudbytte!$A$2:$C$18,3,FALSE)</f>
        <v>6.3E-2</v>
      </c>
      <c r="I14" s="137">
        <f>VLOOKUP(A14,[1]Biogasudbytte!$A$2:$C$18,2,FALSE)*IFERROR(VLOOKUP(A14,$F$3:$G$8,2,FALSE),1)</f>
        <v>13.1</v>
      </c>
      <c r="J14" s="136">
        <f t="shared" si="1"/>
        <v>3.3929399119623192E-4</v>
      </c>
      <c r="K14" s="136">
        <f t="shared" si="2"/>
        <v>2.9623528673405257E-4</v>
      </c>
      <c r="L14" s="136">
        <f t="shared" si="3"/>
        <v>4.78596529764434E-4</v>
      </c>
      <c r="M14" s="128" t="s">
        <v>146</v>
      </c>
      <c r="N14" s="129">
        <v>11417</v>
      </c>
      <c r="O14" s="151">
        <f t="shared" si="4"/>
        <v>6975.5</v>
      </c>
      <c r="P14" s="140">
        <f t="shared" si="5"/>
        <v>58183.65</v>
      </c>
      <c r="Q14" s="124">
        <f t="shared" si="6"/>
        <v>2.0887930350000001E-3</v>
      </c>
    </row>
    <row r="15" spans="1:29" x14ac:dyDescent="0.2">
      <c r="A15" s="126" t="s">
        <v>141</v>
      </c>
      <c r="B15" s="126" t="s">
        <v>140</v>
      </c>
      <c r="C15" s="135">
        <f>SUMIFS('Resultater - Danmark'!H$3:H$482,'Resultater - Danmark'!$F$3:$F$482,$A15)*B6</f>
        <v>2668834</v>
      </c>
      <c r="D15" s="135">
        <f>SUMIFS('Resultater - Danmark'!I$3:I$482,'Resultater - Danmark'!$F$3:$F$482,$A15)*C6</f>
        <v>4731707.5344867064</v>
      </c>
      <c r="E15" s="135">
        <f>SUMIFS('Resultater - Danmark'!J$3:J$482,'Resultater - Danmark'!$F$3:$F$482,$A15)*D6</f>
        <v>6794458.8530864539</v>
      </c>
      <c r="F15" s="241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2547842.5185697647</v>
      </c>
      <c r="G15" s="241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754939.87256516144</v>
      </c>
      <c r="H15" s="136">
        <f>VLOOKUP(A15,[1]Biogasudbytte!$A$2:$C$18,3,FALSE)</f>
        <v>0.06</v>
      </c>
      <c r="I15" s="137">
        <f>VLOOKUP(A15,[1]Biogasudbytte!$A$2:$C$18,2,FALSE)*IFERROR(VLOOKUP(A15,$F$3:$G$8,2,FALSE),1)</f>
        <v>13.9</v>
      </c>
      <c r="J15" s="136">
        <f t="shared" si="1"/>
        <v>0.20387691989197443</v>
      </c>
      <c r="K15" s="136">
        <f t="shared" si="2"/>
        <v>0.21457030441734307</v>
      </c>
      <c r="L15" s="136">
        <f t="shared" si="3"/>
        <v>0.31340346556756882</v>
      </c>
      <c r="M15" s="138" t="s">
        <v>300</v>
      </c>
      <c r="N15" s="139">
        <f>SUM(S15:Z15)</f>
        <v>2668834</v>
      </c>
      <c r="O15" s="151">
        <f t="shared" si="4"/>
        <v>0</v>
      </c>
      <c r="P15" s="140">
        <f>C15*I15</f>
        <v>37096792.600000001</v>
      </c>
      <c r="Q15" s="124">
        <f t="shared" si="6"/>
        <v>1.3317748543399999</v>
      </c>
      <c r="S15" s="166">
        <v>2666649</v>
      </c>
      <c r="T15" s="124">
        <v>2185</v>
      </c>
      <c r="U15" s="166" t="s">
        <v>302</v>
      </c>
      <c r="V15" s="128"/>
      <c r="W15" s="128"/>
    </row>
    <row r="16" spans="1:29" x14ac:dyDescent="0.2">
      <c r="A16" s="126" t="s">
        <v>102</v>
      </c>
      <c r="B16" s="126" t="s">
        <v>140</v>
      </c>
      <c r="C16" s="135">
        <f>SUMIFS('Resultater - Danmark'!H$3:H$482,'Resultater - Danmark'!$F$3:$F$482,$A16)*B7</f>
        <v>757087</v>
      </c>
      <c r="D16" s="135">
        <f>SUMIFS('Resultater - Danmark'!I$3:I$482,'Resultater - Danmark'!$F$3:$F$482,$A16)*C7</f>
        <v>1926976.8744774414</v>
      </c>
      <c r="E16" s="135">
        <f>SUMIFS('Resultater - Danmark'!J$3:J$482,'Resultater - Danmark'!$F$3:$F$482,$A16)*D7</f>
        <v>2134021.7043818706</v>
      </c>
      <c r="F16" s="241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1037602.9324109298</v>
      </c>
      <c r="G16" s="241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237113.52270909678</v>
      </c>
      <c r="H16" s="136">
        <f>VLOOKUP(A16,[1]Biogasudbytte!$A$2:$C$18,3,FALSE)</f>
        <v>0.3</v>
      </c>
      <c r="I16" s="137">
        <f>VLOOKUP(A16,[1]Biogasudbytte!$A$2:$C$18,2,FALSE)*IFERROR(VLOOKUP(A16,$F$3:$G$8,2,FALSE),1)</f>
        <v>60</v>
      </c>
      <c r="J16" s="136">
        <f t="shared" si="1"/>
        <v>5.7835206554718369E-2</v>
      </c>
      <c r="K16" s="136">
        <f t="shared" si="2"/>
        <v>8.7383256794348371E-2</v>
      </c>
      <c r="L16" s="136">
        <f t="shared" si="3"/>
        <v>9.8434593867011824E-2</v>
      </c>
      <c r="M16" s="245" t="s">
        <v>157</v>
      </c>
      <c r="N16" s="246">
        <v>757087</v>
      </c>
      <c r="O16" s="151">
        <f t="shared" si="4"/>
        <v>0</v>
      </c>
      <c r="P16" s="140">
        <f t="shared" si="5"/>
        <v>45425220</v>
      </c>
      <c r="Q16" s="124">
        <f t="shared" si="6"/>
        <v>1.6307653980000001</v>
      </c>
    </row>
    <row r="17" spans="1:23" x14ac:dyDescent="0.2">
      <c r="A17" s="127" t="s">
        <v>209</v>
      </c>
      <c r="B17" s="126" t="s">
        <v>140</v>
      </c>
      <c r="C17" s="135">
        <f>SUMIFS('Resultater - Danmark'!H$3:H$482,'Resultater - Danmark'!$F$3:$F$482,$A17)*B8</f>
        <v>0</v>
      </c>
      <c r="D17" s="135">
        <f>SUMIFS('Resultater - Danmark'!I$3:I$482,'Resultater - Danmark'!$F$3:$F$482,$A17)*C8</f>
        <v>839124.50566107233</v>
      </c>
      <c r="E17" s="135">
        <f>SUMIFS('Resultater - Danmark'!J$3:J$482,'Resultater - Danmark'!$F$3:$F$482,$A17)*D8</f>
        <v>1512733.9952745051</v>
      </c>
      <c r="F17" s="241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451836.27227903879</v>
      </c>
      <c r="G17" s="241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168081.55503050052</v>
      </c>
      <c r="H17" s="136">
        <f>VLOOKUP(A17,[1]Biogasudbytte!$A$2:$C$18,3,FALSE)</f>
        <v>4.2763387558472386E-2</v>
      </c>
      <c r="I17" s="137">
        <f>VLOOKUP(A17,[1]Biogasudbytte!$A$2:$C$18,2,FALSE)*IFERROR(VLOOKUP(A17,$F$3:$G$8,2,FALSE),1)</f>
        <v>15.822453396634783</v>
      </c>
      <c r="J17" s="136">
        <f t="shared" si="1"/>
        <v>0</v>
      </c>
      <c r="K17" s="136">
        <f t="shared" si="2"/>
        <v>3.8052056115357662E-2</v>
      </c>
      <c r="L17" s="136">
        <f t="shared" si="3"/>
        <v>6.9776870660647403E-2</v>
      </c>
      <c r="M17" s="124" t="s">
        <v>150</v>
      </c>
      <c r="N17" s="140"/>
      <c r="O17" s="151"/>
      <c r="P17" s="140">
        <f t="shared" si="5"/>
        <v>0</v>
      </c>
      <c r="Q17" s="124">
        <f t="shared" si="6"/>
        <v>0</v>
      </c>
    </row>
    <row r="18" spans="1:23" x14ac:dyDescent="0.2">
      <c r="A18" s="126" t="s">
        <v>103</v>
      </c>
      <c r="B18" s="126" t="s">
        <v>140</v>
      </c>
      <c r="C18" s="248">
        <f t="shared" ref="C18" si="7">N18</f>
        <v>729134</v>
      </c>
      <c r="D18" s="249">
        <v>363995</v>
      </c>
      <c r="E18" s="249">
        <v>369777</v>
      </c>
      <c r="F18" s="241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19815.087511041667</v>
      </c>
      <c r="G18" s="241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23272.964091633097</v>
      </c>
      <c r="H18" s="136">
        <f>VLOOKUP(A18,[1]Biogasudbytte!$A$2:$C$18,3,FALSE)</f>
        <v>0.28000000000000003</v>
      </c>
      <c r="I18" s="137">
        <f>VLOOKUP(A18,[1]Biogasudbytte!$A$2:$C$18,2,FALSE)*IFERROR(VLOOKUP(A18,$F$3:$G$8,2,FALSE),1)</f>
        <v>94.9</v>
      </c>
      <c r="J18" s="136">
        <f t="shared" si="1"/>
        <v>5.5699827755684647E-2</v>
      </c>
      <c r="K18" s="136">
        <f t="shared" si="2"/>
        <v>1.6506201490084978E-2</v>
      </c>
      <c r="L18" s="136">
        <f t="shared" si="3"/>
        <v>1.7056456708768635E-2</v>
      </c>
      <c r="M18" s="160" t="s">
        <v>298</v>
      </c>
      <c r="N18" s="161">
        <f>SUM(S18:Z18)</f>
        <v>729134</v>
      </c>
      <c r="O18" s="151">
        <f>N18-C18</f>
        <v>0</v>
      </c>
      <c r="P18" s="140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6" t="s">
        <v>104</v>
      </c>
      <c r="B19" s="126" t="s">
        <v>140</v>
      </c>
      <c r="C19" s="248">
        <f>N19</f>
        <v>995654</v>
      </c>
      <c r="D19" s="249">
        <v>600000</v>
      </c>
      <c r="E19" s="249">
        <v>500000</v>
      </c>
      <c r="F19" s="241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27322.703414779389</v>
      </c>
      <c r="G19" s="241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32949.639784893836</v>
      </c>
      <c r="H19" s="136">
        <f>VLOOKUP(A19,[1]Biogasudbytte!$A$2:$C$18,3,FALSE)</f>
        <v>0.42</v>
      </c>
      <c r="I19" s="137">
        <f>VLOOKUP(A19,[1]Biogasudbytte!$A$2:$C$18,2,FALSE)*IFERROR(VLOOKUP(A19,$F$3:$G$8,2,FALSE),1)</f>
        <v>102.595</v>
      </c>
      <c r="J19" s="136">
        <f t="shared" si="1"/>
        <v>7.6059758980185313E-2</v>
      </c>
      <c r="K19" s="136">
        <f t="shared" si="2"/>
        <v>2.7208398175939192E-2</v>
      </c>
      <c r="L19" s="136">
        <f t="shared" si="3"/>
        <v>2.3063166055174653E-2</v>
      </c>
      <c r="M19" s="162" t="s">
        <v>299</v>
      </c>
      <c r="N19" s="163">
        <f>SUM(S19:Z19)</f>
        <v>995654</v>
      </c>
      <c r="O19" s="151">
        <f>N19-C19</f>
        <v>0</v>
      </c>
      <c r="P19" s="140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6" t="s">
        <v>68</v>
      </c>
      <c r="B20" s="126" t="s">
        <v>140</v>
      </c>
      <c r="C20" s="248">
        <f>N20</f>
        <v>75934</v>
      </c>
      <c r="D20" s="249"/>
      <c r="E20" s="249"/>
      <c r="F20" s="241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1525571.4861111143</v>
      </c>
      <c r="G20" s="241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673789.78974993015</v>
      </c>
      <c r="H20" s="136">
        <f>VLOOKUP(A20,[1]Biogasudbytte!$A$2:$C$18,3,FALSE)</f>
        <v>0.85</v>
      </c>
      <c r="I20" s="137">
        <f>VLOOKUP(A20,[1]Biogasudbytte!$A$2:$C$18,2,FALSE)*IFERROR(VLOOKUP(A20,$F$3:$G$8,2,FALSE),1)</f>
        <v>160.6</v>
      </c>
      <c r="J20" s="136">
        <f t="shared" si="1"/>
        <v>5.8007317184497744E-3</v>
      </c>
      <c r="K20" s="136">
        <f t="shared" si="2"/>
        <v>0</v>
      </c>
      <c r="L20" s="136">
        <f t="shared" si="3"/>
        <v>0</v>
      </c>
      <c r="M20" s="124" t="s">
        <v>147</v>
      </c>
      <c r="N20" s="140">
        <v>75934</v>
      </c>
      <c r="O20" s="151">
        <f t="shared" ref="O20:O28" si="8">N20-C20</f>
        <v>0</v>
      </c>
      <c r="P20" s="140">
        <f t="shared" si="5"/>
        <v>12195000.4</v>
      </c>
      <c r="Q20" s="124">
        <f t="shared" si="6"/>
        <v>0.43780051436</v>
      </c>
    </row>
    <row r="21" spans="1:23" x14ac:dyDescent="0.2">
      <c r="A21" s="126" t="s">
        <v>48</v>
      </c>
      <c r="B21" s="126" t="s">
        <v>140</v>
      </c>
      <c r="C21" s="248">
        <f t="shared" ref="C21:C28" si="9">N21</f>
        <v>3786</v>
      </c>
      <c r="D21" s="249"/>
      <c r="E21" s="249"/>
      <c r="F21" s="241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463910.93330945575</v>
      </c>
      <c r="G21" s="241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796640.21862734307</v>
      </c>
      <c r="H21" s="136">
        <f>VLOOKUP(A21,[1]Biogasudbytte!$A$2:$C$18,3,FALSE)</f>
        <v>0.31</v>
      </c>
      <c r="I21" s="137">
        <f>VLOOKUP(A21,[1]Biogasudbytte!$A$2:$C$18,2,FALSE)*IFERROR(VLOOKUP(A21,$F$3:$G$8,2,FALSE),1)</f>
        <v>95.4</v>
      </c>
      <c r="J21" s="136">
        <f t="shared" si="1"/>
        <v>2.8921919411661239E-4</v>
      </c>
      <c r="K21" s="136">
        <f t="shared" si="2"/>
        <v>0</v>
      </c>
      <c r="L21" s="136">
        <f t="shared" si="3"/>
        <v>0</v>
      </c>
      <c r="M21" s="124" t="s">
        <v>158</v>
      </c>
      <c r="N21" s="140">
        <v>3786</v>
      </c>
      <c r="O21" s="151">
        <f t="shared" si="8"/>
        <v>0</v>
      </c>
      <c r="P21" s="140">
        <f t="shared" si="5"/>
        <v>361184.4</v>
      </c>
      <c r="Q21" s="124">
        <f t="shared" si="6"/>
        <v>1.2966519960000001E-2</v>
      </c>
    </row>
    <row r="22" spans="1:23" x14ac:dyDescent="0.2">
      <c r="A22" s="126" t="s">
        <v>51</v>
      </c>
      <c r="B22" s="126" t="s">
        <v>140</v>
      </c>
      <c r="C22" s="248">
        <f t="shared" si="9"/>
        <v>85677</v>
      </c>
      <c r="D22" s="249"/>
      <c r="E22" s="249"/>
      <c r="F22" s="241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3800037.3179096272</v>
      </c>
      <c r="G22" s="241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62104.977447957732</v>
      </c>
      <c r="H22" s="136">
        <f>VLOOKUP(A22,[1]Biogasudbytte!$A$2:$C$18,3,FALSE)</f>
        <v>0.28000000000000003</v>
      </c>
      <c r="I22" s="137">
        <f>VLOOKUP(A22,[1]Biogasudbytte!$A$2:$C$18,2,FALSE)*IFERROR(VLOOKUP(A22,$F$3:$G$8,2,FALSE),1)</f>
        <v>51.25</v>
      </c>
      <c r="J22" s="136">
        <f t="shared" si="1"/>
        <v>6.5450166123425784E-3</v>
      </c>
      <c r="K22" s="136">
        <f t="shared" si="2"/>
        <v>0</v>
      </c>
      <c r="L22" s="136">
        <f t="shared" si="3"/>
        <v>0</v>
      </c>
      <c r="M22" s="164" t="s">
        <v>301</v>
      </c>
      <c r="N22" s="165">
        <f>SUM(S22:Z22)</f>
        <v>85677</v>
      </c>
      <c r="O22" s="151">
        <f t="shared" si="8"/>
        <v>0</v>
      </c>
      <c r="P22" s="140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6" t="s">
        <v>53</v>
      </c>
      <c r="B23" s="126" t="s">
        <v>140</v>
      </c>
      <c r="C23" s="248">
        <f t="shared" si="9"/>
        <v>330026</v>
      </c>
      <c r="D23" s="249"/>
      <c r="E23" s="249"/>
      <c r="F23" s="241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272080.00153552275</v>
      </c>
      <c r="G23" s="241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30250.21270531835</v>
      </c>
      <c r="H23" s="136">
        <f>VLOOKUP(A23,[1]Biogasudbytte!$A$2:$C$18,3,FALSE)</f>
        <v>0.3</v>
      </c>
      <c r="I23" s="137">
        <f>VLOOKUP(A23,[1]Biogasudbytte!$A$2:$C$18,2,FALSE)*IFERROR(VLOOKUP(A23,$F$3:$G$8,2,FALSE),1)</f>
        <v>100</v>
      </c>
      <c r="J23" s="136">
        <f t="shared" si="1"/>
        <v>2.5211266180012976E-2</v>
      </c>
      <c r="K23" s="136">
        <f t="shared" si="2"/>
        <v>0</v>
      </c>
      <c r="L23" s="136">
        <f t="shared" si="3"/>
        <v>0</v>
      </c>
      <c r="M23" s="124" t="s">
        <v>148</v>
      </c>
      <c r="N23" s="140">
        <v>330026</v>
      </c>
      <c r="O23" s="151">
        <f t="shared" si="8"/>
        <v>0</v>
      </c>
      <c r="P23" s="140">
        <f t="shared" si="5"/>
        <v>33002600</v>
      </c>
      <c r="Q23" s="124">
        <f t="shared" si="6"/>
        <v>1.1847933399999999</v>
      </c>
    </row>
    <row r="24" spans="1:23" x14ac:dyDescent="0.2">
      <c r="A24" s="126" t="s">
        <v>52</v>
      </c>
      <c r="B24" s="126" t="s">
        <v>140</v>
      </c>
      <c r="C24" s="248">
        <f t="shared" si="9"/>
        <v>28645</v>
      </c>
      <c r="D24" s="249"/>
      <c r="E24" s="249"/>
      <c r="F24" s="241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87842.254782762378</v>
      </c>
      <c r="G24" s="241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147834.94076348573</v>
      </c>
      <c r="H24" s="136">
        <f>VLOOKUP(A24,[1]Biogasudbytte!$A$2:$C$18,3,FALSE)</f>
        <v>0.2</v>
      </c>
      <c r="I24" s="137">
        <f>VLOOKUP(A24,[1]Biogasudbytte!$A$2:$C$18,2,FALSE)*IFERROR(VLOOKUP(A24,$F$3:$G$8,2,FALSE),1)</f>
        <v>75.599999999999994</v>
      </c>
      <c r="J24" s="136">
        <f t="shared" si="1"/>
        <v>2.1882418952642265E-3</v>
      </c>
      <c r="K24" s="136">
        <f t="shared" si="2"/>
        <v>0</v>
      </c>
      <c r="L24" s="136">
        <f t="shared" si="3"/>
        <v>0</v>
      </c>
      <c r="M24" s="124" t="s">
        <v>149</v>
      </c>
      <c r="N24" s="140">
        <v>28645</v>
      </c>
      <c r="O24" s="151">
        <f t="shared" si="8"/>
        <v>0</v>
      </c>
      <c r="P24" s="140">
        <f t="shared" si="5"/>
        <v>2165562</v>
      </c>
      <c r="Q24" s="124">
        <f t="shared" si="6"/>
        <v>7.7743675799999995E-2</v>
      </c>
    </row>
    <row r="25" spans="1:23" x14ac:dyDescent="0.2">
      <c r="A25" s="127" t="s">
        <v>163</v>
      </c>
      <c r="B25" s="126" t="s">
        <v>140</v>
      </c>
      <c r="C25" s="248">
        <f t="shared" si="9"/>
        <v>78</v>
      </c>
      <c r="D25" s="249">
        <v>800000</v>
      </c>
      <c r="E25" s="249">
        <v>800000</v>
      </c>
      <c r="F25" s="241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1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6">
        <f>VLOOKUP(A25,[1]Biogasudbytte!$A$2:$C$18,3,FALSE)</f>
        <v>0.3</v>
      </c>
      <c r="I25" s="137">
        <f>VLOOKUP(A25,[1]Biogasudbytte!$A$2:$C$18,2,FALSE)*IFERROR(VLOOKUP(A25,$F$3:$G$8,2,FALSE),1)</f>
        <v>47.3</v>
      </c>
      <c r="J25" s="136">
        <f t="shared" si="1"/>
        <v>5.9585570895657067E-6</v>
      </c>
      <c r="K25" s="136">
        <f t="shared" si="2"/>
        <v>3.6277864234585594E-2</v>
      </c>
      <c r="L25" s="136">
        <f t="shared" si="3"/>
        <v>3.6901065688279444E-2</v>
      </c>
      <c r="M25" s="124" t="s">
        <v>164</v>
      </c>
      <c r="N25" s="140">
        <v>78</v>
      </c>
      <c r="O25" s="151">
        <f t="shared" si="8"/>
        <v>0</v>
      </c>
      <c r="P25" s="140">
        <f t="shared" si="5"/>
        <v>3689.3999999999996</v>
      </c>
      <c r="Q25" s="124">
        <f t="shared" si="6"/>
        <v>1.3244945999999998E-4</v>
      </c>
    </row>
    <row r="26" spans="1:23" x14ac:dyDescent="0.2">
      <c r="A26" s="127" t="s">
        <v>159</v>
      </c>
      <c r="B26" s="127" t="s">
        <v>140</v>
      </c>
      <c r="C26" s="248">
        <f t="shared" si="9"/>
        <v>142742</v>
      </c>
      <c r="D26" s="249">
        <v>142742</v>
      </c>
      <c r="E26" s="249">
        <v>142742</v>
      </c>
      <c r="F26" s="241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1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6">
        <f>VLOOKUP(A26,[1]Biogasudbytte!$A$2:$C$18,3,FALSE)</f>
        <v>0.9</v>
      </c>
      <c r="I26" s="137">
        <f>VLOOKUP(A26,[1]Biogasudbytte!$A$2:$C$18,2,FALSE)*IFERROR(VLOOKUP(A26,$F$3:$G$8,2,FALSE),1)</f>
        <v>423.36</v>
      </c>
      <c r="J26" s="136">
        <f t="shared" si="1"/>
        <v>1.090431225742036E-2</v>
      </c>
      <c r="K26" s="136">
        <f t="shared" si="2"/>
        <v>6.4729686207165207E-3</v>
      </c>
      <c r="L26" s="136">
        <f t="shared" si="3"/>
        <v>6.5841648980954808E-3</v>
      </c>
      <c r="M26" s="124" t="s">
        <v>162</v>
      </c>
      <c r="N26" s="124">
        <v>142742</v>
      </c>
      <c r="O26" s="151">
        <f t="shared" si="8"/>
        <v>0</v>
      </c>
      <c r="P26" s="140">
        <f t="shared" si="5"/>
        <v>60431253.120000005</v>
      </c>
      <c r="Q26" s="124">
        <f t="shared" si="6"/>
        <v>2.169481987008</v>
      </c>
    </row>
    <row r="27" spans="1:23" x14ac:dyDescent="0.2">
      <c r="A27" s="126" t="s">
        <v>107</v>
      </c>
      <c r="B27" s="126" t="s">
        <v>140</v>
      </c>
      <c r="C27" s="248">
        <f t="shared" si="9"/>
        <v>0</v>
      </c>
      <c r="D27" s="249">
        <v>0</v>
      </c>
      <c r="E27" s="249">
        <v>0</v>
      </c>
      <c r="F27" s="241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27045.758448627814</v>
      </c>
      <c r="G27" s="241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202843.18836470862</v>
      </c>
      <c r="H27" s="136">
        <f>VLOOKUP(A27,[1]Biogasudbytte!$A$2:$C$18,3,FALSE)</f>
        <v>0.15</v>
      </c>
      <c r="I27" s="137">
        <f>VLOOKUP(A27,[1]Biogasudbytte!$A$2:$C$18,2,FALSE)*IFERROR(VLOOKUP(A27,$F$3:$G$8,2,FALSE),1)</f>
        <v>25</v>
      </c>
      <c r="J27" s="136">
        <f t="shared" si="1"/>
        <v>0</v>
      </c>
      <c r="K27" s="136">
        <f t="shared" si="2"/>
        <v>0</v>
      </c>
      <c r="L27" s="136">
        <f t="shared" si="3"/>
        <v>0</v>
      </c>
      <c r="M27" s="124" t="s">
        <v>150</v>
      </c>
      <c r="O27" s="151">
        <f t="shared" si="8"/>
        <v>0</v>
      </c>
      <c r="P27" s="140">
        <f t="shared" si="5"/>
        <v>0</v>
      </c>
      <c r="Q27" s="124">
        <f t="shared" si="6"/>
        <v>0</v>
      </c>
    </row>
    <row r="28" spans="1:23" ht="12.75" thickBot="1" x14ac:dyDescent="0.25">
      <c r="A28" s="141" t="s">
        <v>100</v>
      </c>
      <c r="B28" s="141" t="s">
        <v>140</v>
      </c>
      <c r="C28" s="250">
        <f t="shared" si="9"/>
        <v>0</v>
      </c>
      <c r="D28" s="251">
        <v>0</v>
      </c>
      <c r="E28" s="251">
        <v>0</v>
      </c>
      <c r="F28" s="242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1800</v>
      </c>
      <c r="G28" s="242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13500</v>
      </c>
      <c r="H28" s="142">
        <f>VLOOKUP(A28,[1]Biogasudbytte!$A$2:$C$18,3,FALSE)</f>
        <v>0.15</v>
      </c>
      <c r="I28" s="143">
        <f>VLOOKUP(A28,[1]Biogasudbytte!$A$2:$C$18,2,FALSE)*IFERROR(VLOOKUP(A28,$F$3:$G$8,2,FALSE),1)</f>
        <v>25</v>
      </c>
      <c r="J28" s="142">
        <f t="shared" si="1"/>
        <v>0</v>
      </c>
      <c r="K28" s="142">
        <f t="shared" si="2"/>
        <v>0</v>
      </c>
      <c r="L28" s="142">
        <f t="shared" si="3"/>
        <v>0</v>
      </c>
      <c r="M28" s="124" t="s">
        <v>150</v>
      </c>
      <c r="O28" s="151">
        <f t="shared" si="8"/>
        <v>0</v>
      </c>
      <c r="P28" s="140">
        <f t="shared" si="5"/>
        <v>0</v>
      </c>
      <c r="Q28" s="124">
        <f t="shared" si="6"/>
        <v>0</v>
      </c>
    </row>
    <row r="29" spans="1:23" x14ac:dyDescent="0.2">
      <c r="A29" s="124" t="s">
        <v>105</v>
      </c>
      <c r="B29" s="124" t="s">
        <v>140</v>
      </c>
      <c r="C29" s="144">
        <f>SUM(C12:C28)</f>
        <v>13090417.5</v>
      </c>
      <c r="D29" s="144">
        <f>SUM(D12:D28)</f>
        <v>22052014.827193659</v>
      </c>
      <c r="E29" s="144">
        <f>SUM(E12:E28)</f>
        <v>21679590.686024465</v>
      </c>
      <c r="F29" s="144"/>
      <c r="G29" s="144"/>
      <c r="H29" s="145"/>
      <c r="I29" s="145"/>
      <c r="J29" s="146">
        <f>SUM(J12:J28)</f>
        <v>1</v>
      </c>
      <c r="K29" s="146">
        <f>SUM(K12:K28)</f>
        <v>0.99999999999999989</v>
      </c>
      <c r="L29" s="146">
        <f>SUM(L12:L28)</f>
        <v>0.99999999999999978</v>
      </c>
      <c r="N29" s="124">
        <f>SUM(N12:N28)</f>
        <v>13097393</v>
      </c>
      <c r="P29" s="140">
        <f>SUM(P12:P28)</f>
        <v>462837288.84999996</v>
      </c>
      <c r="Q29" s="124">
        <f>P29*35.9/1000000000</f>
        <v>16.615858669714999</v>
      </c>
    </row>
    <row r="30" spans="1:23" x14ac:dyDescent="0.2">
      <c r="A30" s="147" t="s">
        <v>124</v>
      </c>
      <c r="C30" s="148">
        <f>SUMPRODUCT(C12:C28,$H$12:$H$28)/C29</f>
        <v>0.13822427556900557</v>
      </c>
      <c r="D30" s="148">
        <f>SUMPRODUCT(D12:D28,$H$12:$H$28)/D29</f>
        <v>0.10965952372729394</v>
      </c>
      <c r="E30" s="148">
        <f>SUMPRODUCT(E12:E28,$H$12:$H$28)/E29</f>
        <v>0.11085132639305086</v>
      </c>
      <c r="F30" s="159"/>
      <c r="G30" s="159"/>
    </row>
    <row r="31" spans="1:23" x14ac:dyDescent="0.2">
      <c r="A31" s="147" t="s">
        <v>161</v>
      </c>
      <c r="C31" s="148">
        <f>SUM(C21:C24)/C29</f>
        <v>3.4233743881736389E-2</v>
      </c>
      <c r="D31" s="148">
        <f>SUM(D21:D24)/D29</f>
        <v>0</v>
      </c>
      <c r="E31" s="148">
        <f>SUM(E21:E24)/E29</f>
        <v>0</v>
      </c>
      <c r="F31" s="159"/>
      <c r="G31" s="159"/>
    </row>
    <row r="32" spans="1:23" x14ac:dyDescent="0.2">
      <c r="A32" s="124" t="s">
        <v>143</v>
      </c>
      <c r="B32" s="124" t="s">
        <v>144</v>
      </c>
      <c r="C32" s="124">
        <f>SUMPRODUCT(C12:C28,$I$12:$I$28)</f>
        <v>462837288.84999996</v>
      </c>
      <c r="D32" s="124">
        <f>SUMPRODUCT(D12:D28,$I$12:$I$28)</f>
        <v>554180994.74638236</v>
      </c>
      <c r="E32" s="124">
        <f>SUMPRODUCT(E12:E28,$I$12:$I$28)</f>
        <v>555284451.24184942</v>
      </c>
    </row>
    <row r="33" spans="1:15" x14ac:dyDescent="0.2">
      <c r="A33" s="124" t="s">
        <v>143</v>
      </c>
      <c r="B33" s="124" t="s">
        <v>123</v>
      </c>
      <c r="C33" s="124">
        <f>C32*[1]Energiindhold!$C$10</f>
        <v>16.615858669714999</v>
      </c>
      <c r="D33" s="124">
        <f>D32*[1]Energiindhold!$C$10</f>
        <v>19.895097711395128</v>
      </c>
      <c r="E33" s="124">
        <f>E32*[1]Energiindhold!$C$10</f>
        <v>19.934711799582395</v>
      </c>
    </row>
    <row r="34" spans="1:15" x14ac:dyDescent="0.2">
      <c r="C34" s="252"/>
    </row>
    <row r="35" spans="1:15" x14ac:dyDescent="0.2">
      <c r="A35" s="179"/>
      <c r="B35" s="179" t="s">
        <v>27</v>
      </c>
      <c r="C35" s="179" t="s">
        <v>28</v>
      </c>
    </row>
    <row r="36" spans="1:15" x14ac:dyDescent="0.2">
      <c r="A36" s="179" t="s">
        <v>159</v>
      </c>
      <c r="B36" s="180">
        <v>0.8</v>
      </c>
      <c r="C36" s="180">
        <v>0.2</v>
      </c>
    </row>
    <row r="38" spans="1:15" hidden="1" x14ac:dyDescent="0.2">
      <c r="C38" s="130">
        <f>År1</f>
        <v>2019</v>
      </c>
      <c r="D38" s="130">
        <f>År2</f>
        <v>2030</v>
      </c>
      <c r="E38" s="130">
        <f>År3</f>
        <v>2050</v>
      </c>
      <c r="F38" s="130" t="s">
        <v>106</v>
      </c>
      <c r="G38" s="130" t="s">
        <v>145</v>
      </c>
      <c r="K38" s="130">
        <f>År1</f>
        <v>2019</v>
      </c>
      <c r="L38" s="130">
        <f>År2</f>
        <v>2030</v>
      </c>
      <c r="M38" s="130">
        <f>År3</f>
        <v>2050</v>
      </c>
      <c r="N38" s="130" t="s">
        <v>106</v>
      </c>
      <c r="O38" s="130" t="s">
        <v>145</v>
      </c>
    </row>
    <row r="39" spans="1:15" hidden="1" x14ac:dyDescent="0.2">
      <c r="A39" s="131" t="str">
        <f t="shared" ref="A39:A55" si="10">A12</f>
        <v>Svinegylle</v>
      </c>
      <c r="B39" s="131" t="s">
        <v>140</v>
      </c>
      <c r="C39" s="132">
        <f>SUMIFS('Resultater - Vestdanmark'!H$3:H$482,'Resultater - Vestdanmark'!$F$3:$F$482,$A39)*B3</f>
        <v>2534442.072977222</v>
      </c>
      <c r="D39" s="132">
        <f>SUMIFS('Resultater - Vestdanmark'!I$3:I$482,'Resultater - Vestdanmark'!$F$3:$F$482,$A39)*C3</f>
        <v>5481681.3895722609</v>
      </c>
      <c r="E39" s="132">
        <f>SUMIFS('Resultater - Vestdanmark'!J$3:J$482,'Resultater - Vestdanmark'!$F$3:$F$482,$A39)*D3</f>
        <v>3614295.4216959961</v>
      </c>
      <c r="F39" s="133">
        <f>VLOOKUP(A39,[1]Biogasudbytte!$A$2:$C$18,3,FALSE)</f>
        <v>0.05</v>
      </c>
      <c r="G39" s="134">
        <f t="shared" ref="G39:G55" si="11">I12</f>
        <v>12</v>
      </c>
      <c r="I39" s="131" t="str">
        <f>A39</f>
        <v>Svinegylle</v>
      </c>
      <c r="J39" s="131" t="s">
        <v>140</v>
      </c>
      <c r="K39" s="132">
        <f>SUMIFS('Resultater - Østdanmark'!H$3:H$482,'Resultater - Østdanmark'!$F$3:$F$482,$A39)*B3</f>
        <v>380427.26035611134</v>
      </c>
      <c r="L39" s="132">
        <f>SUMIFS('Resultater - Østdanmark'!I$3:I$482,'Resultater - Østdanmark'!$F$3:$F$482,$A39)*C3</f>
        <v>794279.81933507253</v>
      </c>
      <c r="M39" s="132">
        <f>SUMIFS('Resultater - Østdanmark'!J$3:J$482,'Resultater - Østdanmark'!$F$3:$F$482,$A39)*D3</f>
        <v>523700.97978136648</v>
      </c>
      <c r="N39" s="133">
        <f>VLOOKUP(I39,[1]Biogasudbytte!$A$2:$C$18,3,FALSE)</f>
        <v>0.05</v>
      </c>
      <c r="O39" s="134">
        <f t="shared" ref="O39:O55" si="12">I12</f>
        <v>12</v>
      </c>
    </row>
    <row r="40" spans="1:15" hidden="1" x14ac:dyDescent="0.2">
      <c r="A40" s="126" t="str">
        <f t="shared" si="10"/>
        <v>Kvæggylle</v>
      </c>
      <c r="B40" s="126" t="s">
        <v>140</v>
      </c>
      <c r="C40" s="135">
        <f>SUMIFS('Resultater - Vestdanmark'!H$3:H$482,'Resultater - Vestdanmark'!$F$3:$F$482,$A40)*B4</f>
        <v>4066864.6068164087</v>
      </c>
      <c r="D40" s="135">
        <f>SUMIFS('Resultater - Vestdanmark'!I$3:I$482,'Resultater - Vestdanmark'!$F$3:$F$482,$A40)*C4</f>
        <v>5942609.9974529659</v>
      </c>
      <c r="E40" s="135">
        <f>SUMIFS('Resultater - Vestdanmark'!J$3:J$482,'Resultater - Vestdanmark'!$F$3:$F$482,$A40)*D4</f>
        <v>4927283.1817266364</v>
      </c>
      <c r="F40" s="136">
        <f>VLOOKUP(A40,[1]Biogasudbytte!$A$2:$C$18,3,FALSE)</f>
        <v>7.5999999999999998E-2</v>
      </c>
      <c r="G40" s="137">
        <f t="shared" si="11"/>
        <v>14.1</v>
      </c>
      <c r="I40" s="126" t="str">
        <f t="shared" ref="I40:I55" si="13">A40</f>
        <v>Kvæggylle</v>
      </c>
      <c r="J40" s="126" t="s">
        <v>140</v>
      </c>
      <c r="K40" s="135">
        <f>SUMIFS('Resultater - Østdanmark'!H$3:H$482,'Resultater - Østdanmark'!$F$3:$F$482,$A40)*B4</f>
        <v>286645.05985025823</v>
      </c>
      <c r="L40" s="135">
        <f>SUMIFS('Resultater - Østdanmark'!I$3:I$482,'Resultater - Østdanmark'!$F$3:$F$482,$A40)*C4</f>
        <v>422365.12127274036</v>
      </c>
      <c r="M40" s="135">
        <f>SUMIFS('Resultater - Østdanmark'!J$3:J$482,'Resultater - Østdanmark'!$F$3:$F$482,$A40)*D4</f>
        <v>350201.77320858691</v>
      </c>
      <c r="N40" s="136">
        <f>VLOOKUP(I40,[1]Biogasudbytte!$A$2:$C$18,3,FALSE)</f>
        <v>7.5999999999999998E-2</v>
      </c>
      <c r="O40" s="137">
        <f t="shared" si="12"/>
        <v>14.1</v>
      </c>
    </row>
    <row r="41" spans="1:15" hidden="1" x14ac:dyDescent="0.2">
      <c r="A41" s="126" t="str">
        <f t="shared" si="10"/>
        <v>Fjerkrægylle</v>
      </c>
      <c r="B41" s="126" t="s">
        <v>140</v>
      </c>
      <c r="C41" s="135">
        <f>SUMIFS('Resultater - Vestdanmark'!H$3:H$482,'Resultater - Vestdanmark'!$F$3:$F$482,$A41)*B5</f>
        <v>4103.8061780475591</v>
      </c>
      <c r="D41" s="135">
        <f>SUMIFS('Resultater - Vestdanmark'!I$3:I$482,'Resultater - Vestdanmark'!$F$3:$F$482,$A41)*C5</f>
        <v>6026.76110076242</v>
      </c>
      <c r="E41" s="135">
        <f>SUMIFS('Resultater - Vestdanmark'!J$3:J$482,'Resultater - Vestdanmark'!$F$3:$F$482,$A41)*D5</f>
        <v>9572.3712807334177</v>
      </c>
      <c r="F41" s="136">
        <f>VLOOKUP(A41,[1]Biogasudbytte!$A$2:$C$18,3,FALSE)</f>
        <v>6.3E-2</v>
      </c>
      <c r="G41" s="137">
        <f t="shared" si="11"/>
        <v>13.1</v>
      </c>
      <c r="I41" s="126" t="str">
        <f t="shared" si="13"/>
        <v>Fjerkrægylle</v>
      </c>
      <c r="J41" s="126" t="s">
        <v>140</v>
      </c>
      <c r="K41" s="135">
        <f>SUMIFS('Resultater - Østdanmark'!H$3:H$482,'Resultater - Østdanmark'!$F$3:$F$482,$A41)*B5</f>
        <v>337.693821952441</v>
      </c>
      <c r="L41" s="135">
        <f>SUMIFS('Resultater - Østdanmark'!I$3:I$482,'Resultater - Østdanmark'!$F$3:$F$482,$A41)*C5</f>
        <v>505.82383463487201</v>
      </c>
      <c r="M41" s="135">
        <f>SUMIFS('Resultater - Østdanmark'!J$3:J$482,'Resultater - Østdanmark'!$F$3:$F$482,$A41)*D5</f>
        <v>803.40558831123519</v>
      </c>
      <c r="N41" s="136">
        <f>VLOOKUP(I41,[1]Biogasudbytte!$A$2:$C$18,3,FALSE)</f>
        <v>6.3E-2</v>
      </c>
      <c r="O41" s="137">
        <f t="shared" si="12"/>
        <v>13.1</v>
      </c>
    </row>
    <row r="42" spans="1:15" hidden="1" x14ac:dyDescent="0.2">
      <c r="A42" s="126" t="str">
        <f t="shared" si="10"/>
        <v>Spildevandsslam</v>
      </c>
      <c r="B42" s="126" t="s">
        <v>140</v>
      </c>
      <c r="C42" s="135">
        <f>SUMIFS('Resultater - Vestdanmark'!H$3:H$482,'Resultater - Vestdanmark'!$F$3:$F$482,$A42)*B6</f>
        <v>1460182.5874658169</v>
      </c>
      <c r="D42" s="135">
        <f>SUMIFS('Resultater - Vestdanmark'!I$3:I$482,'Resultater - Vestdanmark'!$F$3:$F$482,$A42)*C6</f>
        <v>2559729.3122347672</v>
      </c>
      <c r="E42" s="135">
        <f>SUMIFS('Resultater - Vestdanmark'!J$3:J$482,'Resultater - Vestdanmark'!$F$3:$F$482,$A42)*D6</f>
        <v>3648548.212430995</v>
      </c>
      <c r="F42" s="136">
        <f>VLOOKUP(A42,[1]Biogasudbytte!$A$2:$C$18,3,FALSE)</f>
        <v>0.06</v>
      </c>
      <c r="G42" s="137">
        <f t="shared" si="11"/>
        <v>13.9</v>
      </c>
      <c r="I42" s="126" t="str">
        <f t="shared" si="13"/>
        <v>Spildevandsslam</v>
      </c>
      <c r="J42" s="126" t="s">
        <v>140</v>
      </c>
      <c r="K42" s="135">
        <f>SUMIFS('Resultater - Østdanmark'!H$3:H$482,'Resultater - Østdanmark'!$F$3:$F$482,$A42)*B6</f>
        <v>1208651.4125341829</v>
      </c>
      <c r="L42" s="135">
        <f>SUMIFS('Resultater - Østdanmark'!I$3:I$482,'Resultater - Østdanmark'!$F$3:$F$482,$A42)*C6</f>
        <v>2171978.2222519391</v>
      </c>
      <c r="M42" s="135">
        <f>SUMIFS('Resultater - Østdanmark'!J$3:J$482,'Resultater - Østdanmark'!$F$3:$F$482,$A42)*D6</f>
        <v>3145910.6406554594</v>
      </c>
      <c r="N42" s="136">
        <f>VLOOKUP(I42,[1]Biogasudbytte!$A$2:$C$18,3,FALSE)</f>
        <v>0.06</v>
      </c>
      <c r="O42" s="137">
        <f t="shared" si="12"/>
        <v>13.9</v>
      </c>
    </row>
    <row r="43" spans="1:15" hidden="1" x14ac:dyDescent="0.2">
      <c r="A43" s="126" t="str">
        <f t="shared" si="10"/>
        <v>Dybstrøelse</v>
      </c>
      <c r="B43" s="126" t="s">
        <v>140</v>
      </c>
      <c r="C43" s="135">
        <f>SUMIFS('Resultater - Vestdanmark'!H$3:H$482,'Resultater - Vestdanmark'!$F$3:$F$482,$A43)*B7</f>
        <v>671194.67155029252</v>
      </c>
      <c r="D43" s="135">
        <f>SUMIFS('Resultater - Vestdanmark'!I$3:I$482,'Resultater - Vestdanmark'!$F$3:$F$482,$A43)*C7</f>
        <v>1694199.9621387043</v>
      </c>
      <c r="E43" s="135">
        <f>SUMIFS('Resultater - Vestdanmark'!J$3:J$482,'Resultater - Vestdanmark'!$F$3:$F$482,$A43)*D7</f>
        <v>1873981.9703949981</v>
      </c>
      <c r="F43" s="136">
        <f>VLOOKUP(A43,[1]Biogasudbytte!$A$2:$C$18,3,FALSE)</f>
        <v>0.3</v>
      </c>
      <c r="G43" s="137">
        <f t="shared" si="11"/>
        <v>60</v>
      </c>
      <c r="I43" s="126" t="str">
        <f t="shared" si="13"/>
        <v>Dybstrøelse</v>
      </c>
      <c r="J43" s="126" t="s">
        <v>140</v>
      </c>
      <c r="K43" s="135">
        <f>SUMIFS('Resultater - Østdanmark'!H$3:H$482,'Resultater - Østdanmark'!$F$3:$F$482,$A43)*B7</f>
        <v>85892.328449707566</v>
      </c>
      <c r="L43" s="135">
        <f>SUMIFS('Resultater - Østdanmark'!I$3:I$482,'Resultater - Østdanmark'!$F$3:$F$482,$A43)*C7</f>
        <v>232776.9123387367</v>
      </c>
      <c r="M43" s="135">
        <f>SUMIFS('Resultater - Østdanmark'!J$3:J$482,'Resultater - Østdanmark'!$F$3:$F$482,$A43)*D7</f>
        <v>260039.73398687298</v>
      </c>
      <c r="N43" s="136">
        <f>VLOOKUP(I43,[1]Biogasudbytte!$A$2:$C$18,3,FALSE)</f>
        <v>0.3</v>
      </c>
      <c r="O43" s="137">
        <f t="shared" si="12"/>
        <v>60</v>
      </c>
    </row>
    <row r="44" spans="1:15" hidden="1" x14ac:dyDescent="0.2">
      <c r="A44" s="127" t="str">
        <f t="shared" si="10"/>
        <v>Brun saft</v>
      </c>
      <c r="B44" s="126" t="s">
        <v>140</v>
      </c>
      <c r="C44" s="135">
        <f>SUMIFS('Resultater - Vestdanmark'!H$3:H$482,'Resultater - Vestdanmark'!$F$3:$F$482,$A44)*B8</f>
        <v>0</v>
      </c>
      <c r="D44" s="135">
        <f>SUMIFS('Resultater - Vestdanmark'!I$3:I$482,'Resultater - Vestdanmark'!$F$3:$F$482,$A44)*C8</f>
        <v>747642.63549727667</v>
      </c>
      <c r="E44" s="135">
        <f>SUMIFS('Resultater - Vestdanmark'!J$3:J$482,'Resultater - Vestdanmark'!$F$3:$F$482,$A44)*D8</f>
        <v>1348703.3945893398</v>
      </c>
      <c r="F44" s="136">
        <f>VLOOKUP(A44,[1]Biogasudbytte!$A$2:$C$18,3,FALSE)</f>
        <v>4.2763387558472386E-2</v>
      </c>
      <c r="G44" s="137">
        <f t="shared" si="11"/>
        <v>15.822453396634783</v>
      </c>
      <c r="I44" s="127" t="str">
        <f t="shared" si="13"/>
        <v>Brun saft</v>
      </c>
      <c r="J44" s="126" t="s">
        <v>140</v>
      </c>
      <c r="K44" s="135">
        <f>SUMIFS('Resultater - Østdanmark'!H$3:H$482,'Resultater - Østdanmark'!$F$3:$F$482,$A44)*B8</f>
        <v>0</v>
      </c>
      <c r="L44" s="135">
        <f>SUMIFS('Resultater - Østdanmark'!I$3:I$482,'Resultater - Østdanmark'!$F$3:$F$482,$A44)*C8</f>
        <v>91481.870163795786</v>
      </c>
      <c r="M44" s="135">
        <f>SUMIFS('Resultater - Østdanmark'!J$3:J$482,'Resultater - Østdanmark'!$F$3:$F$482,$A44)*D8</f>
        <v>164030.60068516529</v>
      </c>
      <c r="N44" s="136">
        <f>VLOOKUP(I44,[1]Biogasudbytte!$A$2:$C$18,3,FALSE)</f>
        <v>4.2763387558472386E-2</v>
      </c>
      <c r="O44" s="137">
        <f t="shared" si="12"/>
        <v>15.822453396634783</v>
      </c>
    </row>
    <row r="45" spans="1:15" hidden="1" x14ac:dyDescent="0.2">
      <c r="A45" s="126" t="str">
        <f t="shared" si="10"/>
        <v>Bioaffald</v>
      </c>
      <c r="B45" s="126" t="s">
        <v>140</v>
      </c>
      <c r="C45" s="135">
        <f ca="1">SUMIFS('Resultater - Vestdanmark'!H$3:H$482,'Resultater - Vestdanmark'!$F$3:$F$482,$A45)/SUMIFS('Resultater - Danmark'!H$3:H$482,'Resultater - Danmark'!$F$3:$F$482,$A45)*C18</f>
        <v>393543.64426779439</v>
      </c>
      <c r="D45" s="135">
        <f ca="1">SUMIFS('Resultater - Vestdanmark'!I$3:I$482,'Resultater - Vestdanmark'!$F$3:$F$482,$A45)/SUMIFS('Resultater - Danmark'!I$3:I$482,'Resultater - Danmark'!$F$3:$F$482,$A45)*D18</f>
        <v>195082.24112879008</v>
      </c>
      <c r="E45" s="135">
        <f ca="1">SUMIFS('Resultater - Vestdanmark'!J$3:J$482,'Resultater - Vestdanmark'!$F$3:$F$482,$A45)/SUMIFS('Resultater - Danmark'!J$3:J$482,'Resultater - Danmark'!$F$3:$F$482,$A45)*E18</f>
        <v>197484.23354298095</v>
      </c>
      <c r="F45" s="136">
        <f>VLOOKUP(A45,[1]Biogasudbytte!$A$2:$C$18,3,FALSE)</f>
        <v>0.28000000000000003</v>
      </c>
      <c r="G45" s="137">
        <f t="shared" si="11"/>
        <v>94.9</v>
      </c>
      <c r="I45" s="126" t="str">
        <f t="shared" si="13"/>
        <v>Bioaffald</v>
      </c>
      <c r="J45" s="126" t="s">
        <v>140</v>
      </c>
      <c r="K45" s="135">
        <f ca="1">SUMIFS('Resultater - Østdanmark'!H$3:H$482,'Resultater - Østdanmark'!$F$3:$F$482,$A45)/SUMIFS('Resultater - Danmark'!H$3:H$482,'Resultater - Danmark'!$F$3:$F$482,$A45)*C18</f>
        <v>335590.35573220561</v>
      </c>
      <c r="L45" s="135">
        <f ca="1">SUMIFS('Resultater - Østdanmark'!I$3:I$482,'Resultater - Østdanmark'!$F$3:$F$482,$A45)/SUMIFS('Resultater - Danmark'!I$3:I$482,'Resultater - Danmark'!$F$3:$F$482,$A45)*D18</f>
        <v>168912.75887120995</v>
      </c>
      <c r="M45" s="135">
        <f ca="1">SUMIFS('Resultater - Østdanmark'!J$3:J$482,'Resultater - Østdanmark'!$F$3:$F$482,$A45)/SUMIFS('Resultater - Danmark'!J$3:J$482,'Resultater - Danmark'!$F$3:$F$482,$A45)*E18</f>
        <v>172292.76645701905</v>
      </c>
      <c r="N45" s="136">
        <f>VLOOKUP(I45,[1]Biogasudbytte!$A$2:$C$18,3,FALSE)</f>
        <v>0.28000000000000003</v>
      </c>
      <c r="O45" s="137">
        <f t="shared" si="12"/>
        <v>94.9</v>
      </c>
    </row>
    <row r="46" spans="1:15" hidden="1" x14ac:dyDescent="0.2">
      <c r="A46" s="126" t="str">
        <f t="shared" si="10"/>
        <v>Industriaffald</v>
      </c>
      <c r="B46" s="126" t="s">
        <v>140</v>
      </c>
      <c r="C46" s="135">
        <f>SUMIFS('Resultater - Vestdanmark'!H$3:H$482,'Resultater - Vestdanmark'!$F$3:$F$482,$A46)/SUMIFS('Resultater - Danmark'!H$3:H$482,'Resultater - Danmark'!$F$3:$F$482,$A46)*C19</f>
        <v>716103.75203569303</v>
      </c>
      <c r="D46" s="135">
        <f>SUMIFS('Resultater - Vestdanmark'!I$3:I$482,'Resultater - Vestdanmark'!$F$3:$F$482,$A46)/SUMIFS('Resultater - Danmark'!I$3:I$482,'Resultater - Danmark'!$F$3:$F$482,$A46)*D19</f>
        <v>415611.46668729465</v>
      </c>
      <c r="E46" s="135">
        <f>SUMIFS('Resultater - Vestdanmark'!J$3:J$482,'Resultater - Vestdanmark'!$F$3:$F$482,$A46)/SUMIFS('Resultater - Danmark'!J$3:J$482,'Resultater - Danmark'!$F$3:$F$482,$A46)*E19</f>
        <v>327578.03456131206</v>
      </c>
      <c r="F46" s="136">
        <f>VLOOKUP(A46,[1]Biogasudbytte!$A$2:$C$18,3,FALSE)</f>
        <v>0.42</v>
      </c>
      <c r="G46" s="137">
        <f t="shared" si="11"/>
        <v>102.595</v>
      </c>
      <c r="I46" s="126" t="str">
        <f t="shared" si="13"/>
        <v>Industriaffald</v>
      </c>
      <c r="J46" s="126" t="s">
        <v>140</v>
      </c>
      <c r="K46" s="135">
        <f>SUMIFS('Resultater - Østdanmark'!H$3:H$482,'Resultater - Østdanmark'!$F$3:$F$482,$A46)/SUMIFS('Resultater - Danmark'!H$3:H$482,'Resultater - Danmark'!$F$3:$F$482,$A46)*C19</f>
        <v>279550.24796430691</v>
      </c>
      <c r="L46" s="135">
        <f>SUMIFS('Resultater - Østdanmark'!I$3:I$482,'Resultater - Østdanmark'!$F$3:$F$482,$A46)/SUMIFS('Resultater - Danmark'!I$3:I$482,'Resultater - Danmark'!$F$3:$F$482,$A46)*D19</f>
        <v>184388.53331270564</v>
      </c>
      <c r="M46" s="135">
        <f>SUMIFS('Resultater - Østdanmark'!J$3:J$482,'Resultater - Østdanmark'!$F$3:$F$482,$A46)/SUMIFS('Resultater - Danmark'!J$3:J$482,'Resultater - Danmark'!$F$3:$F$482,$A46)*E19</f>
        <v>172421.96543868803</v>
      </c>
      <c r="N46" s="136">
        <f>VLOOKUP(I46,[1]Biogasudbytte!$A$2:$C$18,3,FALSE)</f>
        <v>0.42</v>
      </c>
      <c r="O46" s="137">
        <f t="shared" si="12"/>
        <v>102.595</v>
      </c>
    </row>
    <row r="47" spans="1:15" hidden="1" x14ac:dyDescent="0.2">
      <c r="A47" s="126" t="str">
        <f t="shared" si="10"/>
        <v>Halm</v>
      </c>
      <c r="B47" s="126" t="s">
        <v>140</v>
      </c>
      <c r="C47" s="135">
        <f>SUMIFS('Resultater - Vestdanmark'!H$3:H$482,'Resultater - Vestdanmark'!$F$3:$F$482,$A47)/SUMIFS('Resultater - Danmark'!H$3:H$482,'Resultater - Danmark'!$F$3:$F$482,$A47)*C20</f>
        <v>53138.892747161146</v>
      </c>
      <c r="D47" s="135">
        <f>SUMIFS('Resultater - Vestdanmark'!I$3:I$482,'Resultater - Vestdanmark'!$F$3:$F$482,$A47)/SUMIFS('Resultater - Danmark'!I$3:I$482,'Resultater - Danmark'!$F$3:$F$482,$A47)*D20</f>
        <v>0</v>
      </c>
      <c r="E47" s="135">
        <f>SUMIFS('Resultater - Vestdanmark'!J$3:J$482,'Resultater - Vestdanmark'!$F$3:$F$482,$A47)/SUMIFS('Resultater - Danmark'!J$3:J$482,'Resultater - Danmark'!$F$3:$F$482,$A47)*E20</f>
        <v>0</v>
      </c>
      <c r="F47" s="136">
        <f>VLOOKUP(A47,[1]Biogasudbytte!$A$2:$C$18,3,FALSE)</f>
        <v>0.85</v>
      </c>
      <c r="G47" s="137">
        <f t="shared" si="11"/>
        <v>160.6</v>
      </c>
      <c r="I47" s="126" t="str">
        <f t="shared" si="13"/>
        <v>Halm</v>
      </c>
      <c r="J47" s="126" t="s">
        <v>140</v>
      </c>
      <c r="K47" s="135">
        <f>SUMIFS('Resultater - Østdanmark'!H$3:H$482,'Resultater - Østdanmark'!$F$3:$F$482,$A47)/SUMIFS('Resultater - Danmark'!H$3:H$482,'Resultater - Danmark'!$F$3:$F$482,$A47)*C20</f>
        <v>22795.107252838847</v>
      </c>
      <c r="L47" s="135">
        <f>SUMIFS('Resultater - Østdanmark'!I$3:I$482,'Resultater - Østdanmark'!$F$3:$F$482,$A47)/SUMIFS('Resultater - Danmark'!I$3:I$482,'Resultater - Danmark'!$F$3:$F$482,$A47)*D20</f>
        <v>0</v>
      </c>
      <c r="M47" s="135">
        <f>SUMIFS('Resultater - Østdanmark'!J$3:J$482,'Resultater - Østdanmark'!$F$3:$F$482,$A47)/SUMIFS('Resultater - Danmark'!J$3:J$482,'Resultater - Danmark'!$F$3:$F$482,$A47)*E20</f>
        <v>0</v>
      </c>
      <c r="N47" s="136">
        <f>VLOOKUP(I47,[1]Biogasudbytte!$A$2:$C$18,3,FALSE)</f>
        <v>0.85</v>
      </c>
      <c r="O47" s="137">
        <f t="shared" si="12"/>
        <v>160.6</v>
      </c>
    </row>
    <row r="48" spans="1:15" hidden="1" x14ac:dyDescent="0.2">
      <c r="A48" s="126" t="str">
        <f t="shared" si="10"/>
        <v>Korn</v>
      </c>
      <c r="B48" s="126" t="s">
        <v>140</v>
      </c>
      <c r="C48" s="135">
        <f>SUMIFS('Resultater - Vestdanmark'!H$3:H$482,'Resultater - Vestdanmark'!$F$3:$F$482,$A48)/SUMIFS('Resultater - Danmark'!H$3:H$482,'Resultater - Danmark'!$F$3:$F$482,$A48)*C21</f>
        <v>2840.1853290986264</v>
      </c>
      <c r="D48" s="135">
        <f>SUMIFS('Resultater - Vestdanmark'!I$3:I$482,'Resultater - Vestdanmark'!$F$3:$F$482,$A48)/SUMIFS('Resultater - Danmark'!I$3:I$482,'Resultater - Danmark'!$F$3:$F$482,$A48)*D21</f>
        <v>0</v>
      </c>
      <c r="E48" s="135">
        <f>SUMIFS('Resultater - Vestdanmark'!J$3:J$482,'Resultater - Vestdanmark'!$F$3:$F$482,$A48)/SUMIFS('Resultater - Danmark'!J$3:J$482,'Resultater - Danmark'!$F$3:$F$482,$A48)*E21</f>
        <v>0</v>
      </c>
      <c r="F48" s="136">
        <f>VLOOKUP(A48,[1]Biogasudbytte!$A$2:$C$18,3,FALSE)</f>
        <v>0.31</v>
      </c>
      <c r="G48" s="137">
        <f t="shared" si="11"/>
        <v>95.4</v>
      </c>
      <c r="I48" s="126" t="str">
        <f t="shared" si="13"/>
        <v>Korn</v>
      </c>
      <c r="J48" s="126" t="s">
        <v>140</v>
      </c>
      <c r="K48" s="135">
        <f>SUMIFS('Resultater - Østdanmark'!H$3:H$482,'Resultater - Østdanmark'!$F$3:$F$482,$A48)/SUMIFS('Resultater - Danmark'!H$3:H$482,'Resultater - Danmark'!$F$3:$F$482,$A48)*C21</f>
        <v>945.81467090137289</v>
      </c>
      <c r="L48" s="135">
        <f>SUMIFS('Resultater - Østdanmark'!I$3:I$482,'Resultater - Østdanmark'!$F$3:$F$482,$A48)/SUMIFS('Resultater - Danmark'!I$3:I$482,'Resultater - Danmark'!$F$3:$F$482,$A48)*D21</f>
        <v>0</v>
      </c>
      <c r="M48" s="135">
        <f>SUMIFS('Resultater - Østdanmark'!J$3:J$482,'Resultater - Østdanmark'!$F$3:$F$482,$A48)/SUMIFS('Resultater - Danmark'!J$3:J$482,'Resultater - Danmark'!$F$3:$F$482,$A48)*E21</f>
        <v>0</v>
      </c>
      <c r="N48" s="136">
        <f>VLOOKUP(I48,[1]Biogasudbytte!$A$2:$C$18,3,FALSE)</f>
        <v>0.31</v>
      </c>
      <c r="O48" s="137">
        <f t="shared" si="12"/>
        <v>95.4</v>
      </c>
    </row>
    <row r="49" spans="1:15" hidden="1" x14ac:dyDescent="0.2">
      <c r="A49" s="126" t="str">
        <f t="shared" si="10"/>
        <v>Græs</v>
      </c>
      <c r="B49" s="126" t="s">
        <v>140</v>
      </c>
      <c r="C49" s="135">
        <f>SUMIFS('Resultater - Vestdanmark'!H$3:H$482,'Resultater - Vestdanmark'!$F$3:$F$482,$A49)/SUMIFS('Resultater - Danmark'!H$3:H$482,'Resultater - Danmark'!$F$3:$F$482,$A49)*C22</f>
        <v>75746.163899662715</v>
      </c>
      <c r="D49" s="135">
        <f>SUMIFS('Resultater - Vestdanmark'!I$3:I$482,'Resultater - Vestdanmark'!$F$3:$F$482,$A49)/SUMIFS('Resultater - Danmark'!I$3:I$482,'Resultater - Danmark'!$F$3:$F$482,$A49)*D22</f>
        <v>0</v>
      </c>
      <c r="E49" s="135">
        <f>SUMIFS('Resultater - Vestdanmark'!J$3:J$482,'Resultater - Vestdanmark'!$F$3:$F$482,$A49)/SUMIFS('Resultater - Danmark'!J$3:J$482,'Resultater - Danmark'!$F$3:$F$482,$A49)*E22</f>
        <v>0</v>
      </c>
      <c r="F49" s="136">
        <f>VLOOKUP(A49,[1]Biogasudbytte!$A$2:$C$18,3,FALSE)</f>
        <v>0.28000000000000003</v>
      </c>
      <c r="G49" s="137">
        <f t="shared" si="11"/>
        <v>51.25</v>
      </c>
      <c r="I49" s="126" t="str">
        <f t="shared" si="13"/>
        <v>Græs</v>
      </c>
      <c r="J49" s="126" t="s">
        <v>140</v>
      </c>
      <c r="K49" s="135">
        <f>SUMIFS('Resultater - Østdanmark'!H$3:H$482,'Resultater - Østdanmark'!$F$3:$F$482,$A49)/SUMIFS('Resultater - Danmark'!H$3:H$482,'Resultater - Danmark'!$F$3:$F$482,$A49)*C22</f>
        <v>9930.836100337272</v>
      </c>
      <c r="L49" s="135">
        <f>SUMIFS('Resultater - Østdanmark'!I$3:I$482,'Resultater - Østdanmark'!$F$3:$F$482,$A49)/SUMIFS('Resultater - Danmark'!I$3:I$482,'Resultater - Danmark'!$F$3:$F$482,$A49)*D22</f>
        <v>0</v>
      </c>
      <c r="M49" s="135">
        <f>SUMIFS('Resultater - Østdanmark'!J$3:J$482,'Resultater - Østdanmark'!$F$3:$F$482,$A49)/SUMIFS('Resultater - Danmark'!J$3:J$482,'Resultater - Danmark'!$F$3:$F$482,$A49)*E22</f>
        <v>0</v>
      </c>
      <c r="N49" s="136">
        <f>VLOOKUP(I49,[1]Biogasudbytte!$A$2:$C$18,3,FALSE)</f>
        <v>0.28000000000000003</v>
      </c>
      <c r="O49" s="137">
        <f t="shared" si="12"/>
        <v>51.25</v>
      </c>
    </row>
    <row r="50" spans="1:15" hidden="1" x14ac:dyDescent="0.2">
      <c r="A50" s="126" t="str">
        <f t="shared" si="10"/>
        <v>Majs</v>
      </c>
      <c r="B50" s="126" t="s">
        <v>140</v>
      </c>
      <c r="C50" s="135">
        <f>SUMIFS('Resultater - Vestdanmark'!H$3:H$482,'Resultater - Vestdanmark'!$F$3:$F$482,$A50)/SUMIFS('Resultater - Danmark'!H$3:H$482,'Resultater - Danmark'!$F$3:$F$482,$A50)*C23</f>
        <v>314821.43493156106</v>
      </c>
      <c r="D50" s="135">
        <f>SUMIFS('Resultater - Vestdanmark'!I$3:I$482,'Resultater - Vestdanmark'!$F$3:$F$482,$A50)/SUMIFS('Resultater - Danmark'!I$3:I$482,'Resultater - Danmark'!$F$3:$F$482,$A50)*D23</f>
        <v>0</v>
      </c>
      <c r="E50" s="135">
        <f>SUMIFS('Resultater - Vestdanmark'!J$3:J$482,'Resultater - Vestdanmark'!$F$3:$F$482,$A50)/SUMIFS('Resultater - Danmark'!J$3:J$482,'Resultater - Danmark'!$F$3:$F$482,$A50)*E23</f>
        <v>0</v>
      </c>
      <c r="F50" s="136">
        <f>VLOOKUP(A50,[1]Biogasudbytte!$A$2:$C$18,3,FALSE)</f>
        <v>0.3</v>
      </c>
      <c r="G50" s="137">
        <f t="shared" si="11"/>
        <v>100</v>
      </c>
      <c r="I50" s="126" t="str">
        <f t="shared" si="13"/>
        <v>Majs</v>
      </c>
      <c r="J50" s="126" t="s">
        <v>140</v>
      </c>
      <c r="K50" s="135">
        <f>SUMIFS('Resultater - Østdanmark'!H$3:H$482,'Resultater - Østdanmark'!$F$3:$F$482,$A50)/SUMIFS('Resultater - Danmark'!H$3:H$482,'Resultater - Danmark'!$F$3:$F$482,$A50)*C23</f>
        <v>15204.565068438918</v>
      </c>
      <c r="L50" s="135">
        <f>SUMIFS('Resultater - Østdanmark'!I$3:I$482,'Resultater - Østdanmark'!$F$3:$F$482,$A50)/SUMIFS('Resultater - Danmark'!I$3:I$482,'Resultater - Danmark'!$F$3:$F$482,$A50)*D23</f>
        <v>0</v>
      </c>
      <c r="M50" s="135">
        <f>SUMIFS('Resultater - Østdanmark'!J$3:J$482,'Resultater - Østdanmark'!$F$3:$F$482,$A50)/SUMIFS('Resultater - Danmark'!J$3:J$482,'Resultater - Danmark'!$F$3:$F$482,$A50)*E23</f>
        <v>0</v>
      </c>
      <c r="N50" s="136">
        <f>VLOOKUP(I50,[1]Biogasudbytte!$A$2:$C$18,3,FALSE)</f>
        <v>0.3</v>
      </c>
      <c r="O50" s="137">
        <f t="shared" si="12"/>
        <v>100</v>
      </c>
    </row>
    <row r="51" spans="1:15" hidden="1" x14ac:dyDescent="0.2">
      <c r="A51" s="126" t="str">
        <f t="shared" si="10"/>
        <v>Roer</v>
      </c>
      <c r="B51" s="126" t="s">
        <v>140</v>
      </c>
      <c r="C51" s="135">
        <f>SUMIFS('Resultater - Vestdanmark'!H$3:H$482,'Resultater - Vestdanmark'!$F$3:$F$482,$A51)/SUMIFS('Resultater - Danmark'!H$3:H$482,'Resultater - Danmark'!$F$3:$F$482,$A51)*C24</f>
        <v>4101.0489241972273</v>
      </c>
      <c r="D51" s="135">
        <f>SUMIFS('Resultater - Vestdanmark'!I$3:I$482,'Resultater - Vestdanmark'!$F$3:$F$482,$A51)/SUMIFS('Resultater - Danmark'!I$3:I$482,'Resultater - Danmark'!$F$3:$F$482,$A51)*D24</f>
        <v>0</v>
      </c>
      <c r="E51" s="135">
        <f>SUMIFS('Resultater - Vestdanmark'!J$3:J$482,'Resultater - Vestdanmark'!$F$3:$F$482,$A51)/SUMIFS('Resultater - Danmark'!J$3:J$482,'Resultater - Danmark'!$F$3:$F$482,$A51)*E24</f>
        <v>0</v>
      </c>
      <c r="F51" s="136">
        <f>VLOOKUP(A51,[1]Biogasudbytte!$A$2:$C$18,3,FALSE)</f>
        <v>0.2</v>
      </c>
      <c r="G51" s="137">
        <f t="shared" si="11"/>
        <v>75.599999999999994</v>
      </c>
      <c r="I51" s="126" t="str">
        <f t="shared" si="13"/>
        <v>Roer</v>
      </c>
      <c r="J51" s="126" t="s">
        <v>140</v>
      </c>
      <c r="K51" s="135">
        <f>SUMIFS('Resultater - Østdanmark'!H$3:H$482,'Resultater - Østdanmark'!$F$3:$F$482,$A51)/SUMIFS('Resultater - Danmark'!H$3:H$482,'Resultater - Danmark'!$F$3:$F$482,$A51)*C24</f>
        <v>24543.951075802775</v>
      </c>
      <c r="L51" s="135">
        <f>SUMIFS('Resultater - Østdanmark'!I$3:I$482,'Resultater - Østdanmark'!$F$3:$F$482,$A51)/SUMIFS('Resultater - Danmark'!I$3:I$482,'Resultater - Danmark'!$F$3:$F$482,$A51)*D24</f>
        <v>0</v>
      </c>
      <c r="M51" s="135">
        <f>SUMIFS('Resultater - Østdanmark'!J$3:J$482,'Resultater - Østdanmark'!$F$3:$F$482,$A51)/SUMIFS('Resultater - Danmark'!J$3:J$482,'Resultater - Danmark'!$F$3:$F$482,$A51)*E24</f>
        <v>0</v>
      </c>
      <c r="N51" s="136">
        <f>VLOOKUP(I51,[1]Biogasudbytte!$A$2:$C$18,3,FALSE)</f>
        <v>0.2</v>
      </c>
      <c r="O51" s="137">
        <f t="shared" si="12"/>
        <v>75.599999999999994</v>
      </c>
    </row>
    <row r="52" spans="1:15" hidden="1" x14ac:dyDescent="0.2">
      <c r="A52" s="126" t="str">
        <f t="shared" si="10"/>
        <v>Have/parkaffald</v>
      </c>
      <c r="B52" s="126" t="s">
        <v>140</v>
      </c>
      <c r="C52" s="135">
        <f>SUMIFS('Resultater - Vestdanmark'!H$3:H$482,'Resultater - Vestdanmark'!$F$3:$F$482,$A52)/SUMIFS('Resultater - Danmark'!H$3:H$482,'Resultater - Danmark'!$F$3:$F$482,$A52)*C25</f>
        <v>42.099811904105366</v>
      </c>
      <c r="D52" s="135">
        <f>SUMIFS('Resultater - Vestdanmark'!I$3:I$482,'Resultater - Vestdanmark'!$F$3:$F$482,$A52)/SUMIFS('Resultater - Danmark'!I$3:I$482,'Resultater - Danmark'!$F$3:$F$482,$A52)*D25</f>
        <v>428758.06783893198</v>
      </c>
      <c r="E52" s="135">
        <f>SUMIFS('Resultater - Vestdanmark'!J$3:J$482,'Resultater - Vestdanmark'!$F$3:$F$482,$A52)/SUMIFS('Resultater - Danmark'!J$3:J$482,'Resultater - Danmark'!$F$3:$F$482,$A52)*E25</f>
        <v>427250.44238658639</v>
      </c>
      <c r="F52" s="136">
        <f>VLOOKUP(A52,[1]Biogasudbytte!$A$2:$C$18,3,FALSE)</f>
        <v>0.3</v>
      </c>
      <c r="G52" s="137">
        <f t="shared" si="11"/>
        <v>47.3</v>
      </c>
      <c r="I52" s="126" t="str">
        <f t="shared" si="13"/>
        <v>Have/parkaffald</v>
      </c>
      <c r="J52" s="126" t="s">
        <v>140</v>
      </c>
      <c r="K52" s="135">
        <f>SUMIFS('Resultater - Østdanmark'!H$3:H$482,'Resultater - Østdanmark'!$F$3:$F$482,$A52)/SUMIFS('Resultater - Danmark'!H$3:H$482,'Resultater - Danmark'!$F$3:$F$482,$A52)*C25</f>
        <v>35.900188095894634</v>
      </c>
      <c r="L52" s="135">
        <f>SUMIFS('Resultater - Østdanmark'!I$3:I$482,'Resultater - Østdanmark'!$F$3:$F$482,$A52)/SUMIFS('Resultater - Danmark'!I$3:I$482,'Resultater - Danmark'!$F$3:$F$482,$A52)*D25</f>
        <v>371241.93216106802</v>
      </c>
      <c r="M52" s="135">
        <f>SUMIFS('Resultater - Østdanmark'!J$3:J$482,'Resultater - Østdanmark'!$F$3:$F$482,$A52)/SUMIFS('Resultater - Danmark'!J$3:J$482,'Resultater - Danmark'!$F$3:$F$482,$A52)*E25</f>
        <v>372749.55761341366</v>
      </c>
      <c r="N52" s="136">
        <f>VLOOKUP(I52,[1]Biogasudbytte!$A$2:$C$18,3,FALSE)</f>
        <v>0.3</v>
      </c>
      <c r="O52" s="137">
        <f t="shared" si="12"/>
        <v>47.3</v>
      </c>
    </row>
    <row r="53" spans="1:15" hidden="1" x14ac:dyDescent="0.2">
      <c r="A53" s="127" t="str">
        <f t="shared" si="10"/>
        <v>Glycerin</v>
      </c>
      <c r="B53" s="127" t="s">
        <v>140</v>
      </c>
      <c r="C53" s="135">
        <f>C26*$B$36</f>
        <v>114193.60000000001</v>
      </c>
      <c r="D53" s="135">
        <f>D26*$B$36</f>
        <v>114193.60000000001</v>
      </c>
      <c r="E53" s="135">
        <f>E26*$B$36</f>
        <v>114193.60000000001</v>
      </c>
      <c r="F53" s="136">
        <f>VLOOKUP(A53,[1]Biogasudbytte!$A$2:$C$18,3,FALSE)</f>
        <v>0.9</v>
      </c>
      <c r="G53" s="137">
        <f t="shared" si="11"/>
        <v>423.36</v>
      </c>
      <c r="I53" s="127" t="str">
        <f t="shared" si="13"/>
        <v>Glycerin</v>
      </c>
      <c r="J53" s="127" t="s">
        <v>140</v>
      </c>
      <c r="K53" s="135">
        <f>C26*$C$36</f>
        <v>28548.400000000001</v>
      </c>
      <c r="L53" s="135">
        <f>D26*$C$36</f>
        <v>28548.400000000001</v>
      </c>
      <c r="M53" s="135">
        <f>E26*$C$36</f>
        <v>28548.400000000001</v>
      </c>
      <c r="N53" s="136">
        <f>VLOOKUP(I53,[1]Biogasudbytte!$A$2:$C$18,3,FALSE)</f>
        <v>0.9</v>
      </c>
      <c r="O53" s="137">
        <f t="shared" si="12"/>
        <v>423.36</v>
      </c>
    </row>
    <row r="54" spans="1:15" hidden="1" x14ac:dyDescent="0.2">
      <c r="A54" s="126" t="str">
        <f t="shared" si="10"/>
        <v>Muslinger</v>
      </c>
      <c r="B54" s="126" t="s">
        <v>140</v>
      </c>
      <c r="C54" s="135">
        <f>SUMIFS('Resultater - Vestdanmark'!H$3:H$482,'Resultater - Vestdanmark'!$F$3:$F$482,$A54)/SUMIFS('Resultater - Danmark'!H$3:H$482,'Resultater - Danmark'!$F$3:$F$482,$A54)*C27</f>
        <v>0</v>
      </c>
      <c r="D54" s="135">
        <f>SUMIFS('Resultater - Vestdanmark'!I$3:I$482,'Resultater - Vestdanmark'!$F$3:$F$482,$A54)/SUMIFS('Resultater - Danmark'!I$3:I$482,'Resultater - Danmark'!$F$3:$F$482,$A54)*D27</f>
        <v>0</v>
      </c>
      <c r="E54" s="135">
        <f>SUMIFS('Resultater - Vestdanmark'!J$3:J$482,'Resultater - Vestdanmark'!$F$3:$F$482,$A54)/SUMIFS('Resultater - Danmark'!J$3:J$482,'Resultater - Danmark'!$F$3:$F$482,$A54)*E27</f>
        <v>0</v>
      </c>
      <c r="F54" s="136">
        <f>VLOOKUP(A54,[1]Biogasudbytte!$A$2:$C$18,3,FALSE)</f>
        <v>0.15</v>
      </c>
      <c r="G54" s="137">
        <f t="shared" si="11"/>
        <v>25</v>
      </c>
      <c r="I54" s="126" t="str">
        <f t="shared" si="13"/>
        <v>Muslinger</v>
      </c>
      <c r="J54" s="126" t="s">
        <v>140</v>
      </c>
      <c r="K54" s="135">
        <f>SUMIFS('Resultater - Østdanmark'!H$3:H$482,'Resultater - Østdanmark'!$F$3:$F$482,$A54)/SUMIFS('Resultater - Danmark'!H$3:H$482,'Resultater - Danmark'!$F$3:$F$482,$A54)*C27</f>
        <v>0</v>
      </c>
      <c r="L54" s="135">
        <f>SUMIFS('Resultater - Østdanmark'!I$3:I$482,'Resultater - Østdanmark'!$F$3:$F$482,$A54)/SUMIFS('Resultater - Danmark'!I$3:I$482,'Resultater - Danmark'!$F$3:$F$482,$A54)*D27</f>
        <v>0</v>
      </c>
      <c r="M54" s="135">
        <f>SUMIFS('Resultater - Østdanmark'!J$3:J$482,'Resultater - Østdanmark'!$F$3:$F$482,$A54)/SUMIFS('Resultater - Danmark'!J$3:J$482,'Resultater - Danmark'!$F$3:$F$482,$A54)*E27</f>
        <v>0</v>
      </c>
      <c r="N54" s="136">
        <f>VLOOKUP(I54,[1]Biogasudbytte!$A$2:$C$18,3,FALSE)</f>
        <v>0.15</v>
      </c>
      <c r="O54" s="137">
        <f t="shared" si="12"/>
        <v>25</v>
      </c>
    </row>
    <row r="55" spans="1:15" ht="12.75" hidden="1" thickBot="1" x14ac:dyDescent="0.25">
      <c r="A55" s="141" t="str">
        <f t="shared" si="10"/>
        <v>Tang</v>
      </c>
      <c r="B55" s="141" t="s">
        <v>140</v>
      </c>
      <c r="C55" s="178">
        <f>SUMIFS('Resultater - Vestdanmark'!H$3:H$482,'Resultater - Vestdanmark'!$F$3:$F$482,$A55)/SUMIFS('Resultater - Danmark'!H$3:H$482,'Resultater - Danmark'!$F$3:$F$482,$A55)*C28</f>
        <v>0</v>
      </c>
      <c r="D55" s="178">
        <f>SUMIFS('Resultater - Vestdanmark'!I$3:I$482,'Resultater - Vestdanmark'!$F$3:$F$482,$A55)/SUMIFS('Resultater - Danmark'!I$3:I$482,'Resultater - Danmark'!$F$3:$F$482,$A55)*D28</f>
        <v>0</v>
      </c>
      <c r="E55" s="178">
        <f>SUMIFS('Resultater - Vestdanmark'!J$3:J$482,'Resultater - Vestdanmark'!$F$3:$F$482,$A55)/SUMIFS('Resultater - Danmark'!J$3:J$482,'Resultater - Danmark'!$F$3:$F$482,$A55)*E28</f>
        <v>0</v>
      </c>
      <c r="F55" s="142">
        <f>VLOOKUP(A55,[1]Biogasudbytte!$A$2:$C$18,3,FALSE)</f>
        <v>0.15</v>
      </c>
      <c r="G55" s="143">
        <f t="shared" si="11"/>
        <v>25</v>
      </c>
      <c r="I55" s="141" t="str">
        <f t="shared" si="13"/>
        <v>Tang</v>
      </c>
      <c r="J55" s="141" t="s">
        <v>140</v>
      </c>
      <c r="K55" s="178">
        <f>SUMIFS('Resultater - Østdanmark'!H$3:H$482,'Resultater - Østdanmark'!$F$3:$F$482,$A55)/SUMIFS('Resultater - Danmark'!H$3:H$482,'Resultater - Danmark'!$F$3:$F$482,$A55)*C28</f>
        <v>0</v>
      </c>
      <c r="L55" s="178">
        <f>SUMIFS('Resultater - Østdanmark'!I$3:I$482,'Resultater - Østdanmark'!$F$3:$F$482,$A55)/SUMIFS('Resultater - Danmark'!I$3:I$482,'Resultater - Danmark'!$F$3:$F$482,$A55)*D28</f>
        <v>0</v>
      </c>
      <c r="M55" s="178">
        <f>SUMIFS('Resultater - Østdanmark'!J$3:J$482,'Resultater - Østdanmark'!$F$3:$F$482,$A55)/SUMIFS('Resultater - Danmark'!J$3:J$482,'Resultater - Danmark'!$F$3:$F$482,$A55)*E28</f>
        <v>0</v>
      </c>
      <c r="N55" s="142">
        <f>VLOOKUP(I55,[1]Biogasudbytte!$A$2:$C$18,3,FALSE)</f>
        <v>0.15</v>
      </c>
      <c r="O55" s="143">
        <f t="shared" si="12"/>
        <v>25</v>
      </c>
    </row>
    <row r="56" spans="1:15" hidden="1" x14ac:dyDescent="0.2">
      <c r="A56" s="124" t="s">
        <v>105</v>
      </c>
      <c r="B56" s="124" t="s">
        <v>140</v>
      </c>
      <c r="C56" s="144">
        <f ca="1">SUM(C39:C55)</f>
        <v>10411318.566934858</v>
      </c>
      <c r="D56" s="144">
        <f ca="1">SUM(D39:D55)</f>
        <v>17585535.433651753</v>
      </c>
      <c r="E56" s="144">
        <f ca="1">SUM(E39:E55)</f>
        <v>16488890.862609578</v>
      </c>
      <c r="F56" s="145"/>
      <c r="G56" s="145"/>
      <c r="I56" s="124" t="s">
        <v>105</v>
      </c>
      <c r="J56" s="124" t="s">
        <v>140</v>
      </c>
      <c r="K56" s="144">
        <f ca="1">SUM(K39:K55)</f>
        <v>2679098.9330651397</v>
      </c>
      <c r="L56" s="144">
        <f ca="1">SUM(L39:L55)</f>
        <v>4466479.3935419032</v>
      </c>
      <c r="M56" s="144">
        <f ca="1">SUM(M39:M55)</f>
        <v>5190699.8234148836</v>
      </c>
      <c r="N56" s="145"/>
      <c r="O56" s="145"/>
    </row>
    <row r="57" spans="1:15" hidden="1" x14ac:dyDescent="0.2">
      <c r="A57" s="147" t="s">
        <v>124</v>
      </c>
      <c r="C57" s="148">
        <f ca="1">SUMPRODUCT(C39:C55,$F$39:$F$55)/C56</f>
        <v>0.13459375485410555</v>
      </c>
      <c r="D57" s="148">
        <f ca="1">SUMPRODUCT(D39:D55,$F$39:$F$55)/D56</f>
        <v>0.10693442376880748</v>
      </c>
      <c r="E57" s="148">
        <f ca="1">SUMPRODUCT(E39:E55,$F$39:$F$55)/E56</f>
        <v>0.11028041303023683</v>
      </c>
      <c r="I57" s="147" t="s">
        <v>124</v>
      </c>
      <c r="K57" s="148">
        <f ca="1">SUMPRODUCT(K39:K55,$N$39:$N$55)/K56</f>
        <v>0.15233293996365566</v>
      </c>
      <c r="L57" s="148">
        <f ca="1">SUMPRODUCT(L39:L55,$N$39:$N$55)/L56</f>
        <v>0.12038885608456358</v>
      </c>
      <c r="M57" s="148">
        <f ca="1">SUMPRODUCT(M39:M55,$N$39:$N$55)/M56</f>
        <v>0.11266490229836169</v>
      </c>
    </row>
    <row r="58" spans="1:15" hidden="1" x14ac:dyDescent="0.2">
      <c r="A58" s="147" t="s">
        <v>161</v>
      </c>
      <c r="C58" s="148">
        <f ca="1">SUM(C48:C51)/C56</f>
        <v>3.8180450490388568E-2</v>
      </c>
      <c r="D58" s="148">
        <f ca="1">SUM(D48:D51)/D56</f>
        <v>0</v>
      </c>
      <c r="E58" s="148">
        <f ca="1">SUM(E48:E51)/E56</f>
        <v>0</v>
      </c>
      <c r="I58" s="147" t="s">
        <v>161</v>
      </c>
      <c r="K58" s="148">
        <f ca="1">SUM(K48:K51)/K56</f>
        <v>1.8896340963997331E-2</v>
      </c>
      <c r="L58" s="148">
        <f ca="1">SUM(L48:L51)/L56</f>
        <v>0</v>
      </c>
      <c r="M58" s="148">
        <f ca="1">SUM(M48:M51)/M56</f>
        <v>0</v>
      </c>
    </row>
    <row r="59" spans="1:15" hidden="1" x14ac:dyDescent="0.2">
      <c r="A59" s="124" t="s">
        <v>143</v>
      </c>
      <c r="B59" s="124" t="s">
        <v>144</v>
      </c>
      <c r="C59" s="124">
        <f ca="1">SUMPRODUCT(C39:C55,$I$12:$I$28)</f>
        <v>352020257.59705484</v>
      </c>
      <c r="D59" s="124">
        <f ca="1">SUMPRODUCT(D39:D55,$I$12:$I$28)</f>
        <v>428489926.3479389</v>
      </c>
      <c r="E59" s="124">
        <f ca="1">SUMPRODUCT(E39:E55,$I$12:$I$28)</f>
        <v>418368241.609671</v>
      </c>
      <c r="I59" s="124" t="s">
        <v>143</v>
      </c>
      <c r="J59" s="124" t="s">
        <v>144</v>
      </c>
      <c r="K59" s="124">
        <f ca="1">SUMPRODUCT(K39:K55,$I$12:$I$28)</f>
        <v>110817031.25294524</v>
      </c>
      <c r="L59" s="124">
        <f ca="1">SUMPRODUCT(L39:L55,$I$12:$I$28)</f>
        <v>125691068.3984434</v>
      </c>
      <c r="M59" s="124">
        <f ca="1">SUMPRODUCT(M39:M55,$I$12:$I$28)</f>
        <v>136916209.63217843</v>
      </c>
    </row>
    <row r="60" spans="1:15" hidden="1" x14ac:dyDescent="0.2">
      <c r="A60" s="124" t="s">
        <v>143</v>
      </c>
      <c r="B60" s="124" t="s">
        <v>123</v>
      </c>
      <c r="C60" s="124">
        <f ca="1">C59*[1]Energiindhold!$C$10</f>
        <v>12.637527247734271</v>
      </c>
      <c r="D60" s="124">
        <f ca="1">D59*[1]Energiindhold!$C$10</f>
        <v>15.382788355891009</v>
      </c>
      <c r="E60" s="124">
        <f ca="1">E59*[1]Energiindhold!$C$10</f>
        <v>15.019419873787191</v>
      </c>
      <c r="I60" s="124" t="s">
        <v>143</v>
      </c>
      <c r="J60" s="124" t="s">
        <v>123</v>
      </c>
      <c r="K60" s="124">
        <f ca="1">K59*[1]Energiindhold!$C$10</f>
        <v>3.9783314219807346</v>
      </c>
      <c r="L60" s="124">
        <f ca="1">L59*[1]Energiindhold!$C$10</f>
        <v>4.5123093555041187</v>
      </c>
      <c r="M60" s="124">
        <f ca="1">M59*[1]Energiindhold!$C$10</f>
        <v>4.9152919257952057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D5" sqref="D5"/>
    </sheetView>
  </sheetViews>
  <sheetFormatPr defaultColWidth="9.140625" defaultRowHeight="15" x14ac:dyDescent="0.25"/>
  <cols>
    <col min="1" max="1" width="20" style="1" customWidth="1"/>
    <col min="2" max="2" width="9.28515625" style="1" bestFit="1" customWidth="1"/>
    <col min="3" max="3" width="12.140625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8" t="s">
        <v>280</v>
      </c>
    </row>
    <row r="2" spans="1:5" ht="15.75" x14ac:dyDescent="0.25">
      <c r="A2" s="226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340">
        <v>0</v>
      </c>
      <c r="C4" s="341">
        <v>1480000</v>
      </c>
      <c r="D4" s="341">
        <v>2500000</v>
      </c>
    </row>
    <row r="5" spans="1:5" x14ac:dyDescent="0.25">
      <c r="A5" s="308"/>
      <c r="C5" s="15">
        <f>C4/(C4+Biogasanlæg!F20)</f>
        <v>0.49241883177264256</v>
      </c>
      <c r="D5" s="15">
        <f>D4/(D4+Biogasanlæg!G20)</f>
        <v>0.7877018219902272</v>
      </c>
    </row>
    <row r="6" spans="1:5" x14ac:dyDescent="0.25">
      <c r="A6" s="308"/>
    </row>
    <row r="7" spans="1:5" ht="15.75" x14ac:dyDescent="0.25">
      <c r="A7" s="226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454100.88944258494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279222.43678052042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130554.00571474319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78880.338390497025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103307.95234818808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71899.777470984001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147582.78906884012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62825.048275617097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45410.088944258496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27922.243678052044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34057.566708193874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20941.682758539031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5676.261118032312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3490.2804597565055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56762.611180323118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27922.243678052044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11352.522236064624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6980.560919513011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31751.49505701059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19523.70062988855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45858.862448153115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28198.190354733964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8613.084800025772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5296.1061781063381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3312.1091245534226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2036.585265833824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56762.611180323118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62825.048275617097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14557.319038853899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0.26413872447585557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1247.9145723844704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2.2643081636439695E-2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1336.2457077623992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2.42458268512665E-2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12331.347057352174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0.22374904844117072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57.67417401848089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1.0464827156552753E-3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910.52572173905708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1.6521249695819491E-2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23.887933150205988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4.334402629920434E-4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3083.5731934985547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5.5950624423683287E-2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52.531320160301121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9.5316698529038766E-4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929.06374843043989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1.685761731347574E-2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2293.2033112517015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4.1609570826959194E-2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263.47314981954139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4.7806509935808044E-3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432.72006555120379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7.8515917570219224E-3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12230.860785508497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0.22192575147273302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0.24014192427030884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0.17152994590736345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1.3827185240981857E-2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9.8765608864156123E-3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1.7905578760527514E-2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1.2789699114662512E-2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0.41295916925078141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0.29497083517912959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4.7998760752444386E-4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3.4284829108888854E-4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2.5405884819884754E-2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1.814706058563197E-2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2.7474083124338298E-4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1.962434508881307E-4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3.4166711964234063E-2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2.440479426016719E-2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9.7911413909652196E-4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6.993672422118014E-4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1.7316516117135472E-2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1.2368940083668194E-2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5.5095364744618444E-2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3.9353831960441746E-2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4.9107900862457683E-3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3.5077072044612627E-3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1.1592037098283917E-2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8.2800264987742279E-3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0.42873455406185462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0.30623896718703902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194614.666903965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279222.43678052042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55951.716734889946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78880.338390497025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44274.836720652034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71899.777470984001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63249.766743788627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62825.048275617097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19461.466690396501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27922.243678052044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14596.100017797375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20941.682758539031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2432.6833362995626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3490.2804597565055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24326.833362995625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27922.243678052044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4865.3666725991252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6980.560919513011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13607.783595861683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19523.70062988855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19653.79819206562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28198.190354733964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3691.3220571539027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5296.1061781063381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1419.475339094324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2036.585265833824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24326.833362995625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62825.048275617097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6238.8510166516717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0.26413872447585557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534.82053102191583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2.2643081636439695E-2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572.67673189817094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2.42458268512665E-2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5284.8630245795039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0.22374904844117072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24.717503150777528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1.0464827156552753E-3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390.22530931673873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1.6521249695819491E-2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10.237685635802565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4.334402629920434E-4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1321.5313686422378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5.5950624423683287E-2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22.51342292584334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9.5316698529038766E-4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398.1701778987599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1.685761731347574E-2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982.80141910787222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4.1609570826959194E-2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112.9170642083749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4.7806509935808044E-3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185.45145666480164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7.8515917570219224E-3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5241.7974795036425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0.22192575147273302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0.10291796754441808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0.17152994590736345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5.9259365318493672E-3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9.8765608864156123E-3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7.673819468797507E-3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1.2789699114662512E-2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0.17698250110747776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0.29497083517912959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2.0570897465333309E-4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3.4284829108888854E-4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1.088823635137918E-2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1.814706058563197E-2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1.1774607053287841E-4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1.962434508881307E-4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1.4642876556100312E-2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2.440479426016719E-2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4.1962034532708084E-4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6.993672422118014E-4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7.4213640502009169E-3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1.2368940083668194E-2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2.3612299176265044E-2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3.9353831960441746E-2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2.1046243226767575E-3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3.5077072044612627E-3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4.9680158992645362E-3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8.2800264987742279E-3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0.1837433803122234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0.30623896718703902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147797.19055741493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100704.76321947954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42491.692285256802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28449.095609502972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33623.8608518119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25931.476529015981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48034.086931159858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22658.571724382895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14779.719055741494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10070.476321947954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11084.789291806121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7552.8572414609653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1847.4648819676868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1258.8095402434942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18474.648819676866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10070.476321947954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3694.9297639353736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2517.6190804869884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10334.22720484927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7041.4457798260073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14925.782330697086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10169.999644847319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2803.3191853889462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1910.101225392033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1077.9992614184657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734.51775343285783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18474.648819676866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22658.571724382895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2058.345238468457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3.7348132878940656E-2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55.660945475510907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1.0099532133558114E-3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224.82325375771026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4.0793587969073985E-3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661.07456778336234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1.1995024128620996E-2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12.520036390025359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2.27172766747217E-4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21.285207726900612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3.8621449486852974E-4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59.466392203805022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1.079002043171071E-3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63.400350767182147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1.1503826864272908E-3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13.676758952114534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2.4816119334620677E-4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97.658692306205097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1.7719912815741289E-3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708.99747499699004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1.2864572673301218E-2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21.431403448502294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3.8886717777840684E-4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45.485442530480874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8.2532138920963214E-4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1318.2344557118079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2.3919017421079283E-2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3.7027113919355294E-2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2.6447938513825212E-2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6.7253448927833304E-4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4.8038177805595223E-4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3.2851736129046157E-3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2.346552580646154E-3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2.4141380399768712E-2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1.724384314269194E-2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1.1362379471386713E-4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8.1159853367047952E-5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6.4764207543260431E-4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4.6260148245186024E-4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7.4581528668985083E-4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5.3272520477846486E-4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7.6604739928526388E-4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5.471767137751885E-4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2.7797981183837455E-4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1.9855700845598185E-4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1.9849106799870479E-3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1.4177933428478914E-3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1.8575146504759429E-2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1.3267961789113878E-2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4.3559278326872034E-4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3.1113770233480025E-4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1.328740612923937E-3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9.4910043780281215E-4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4.6208739632616271E-2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3.3006242594725912E-2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63341.653096034977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100704.76321947954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18210.725265110057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28449.095609502972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14410.226079347956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25931.476529015981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20586.037256211366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22658.571724382895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6334.1653096034979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10070.476321947954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4750.6239822026228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7552.8572414609653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791.77066370043724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1258.8095402434942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7917.7066370043722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10070.476321947954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1583.5413274008745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2517.6190804869884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4428.9545163639732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7041.4457798260073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6396.7638560130372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10169.999644847319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1201.4225080238341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1910.101225392033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461.99968346505676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734.51775343285783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7917.7066370043722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22658.571724382895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882.14795934362451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3.7348132878940656E-2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23.854690918076102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1.0099532133558114E-3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96.352823039018702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4.0793587969073985E-3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283.31767190715527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1.1995024128620996E-2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5.3657298814394387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2.27172766747217E-4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9.1222318829574061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3.8621449486852974E-4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25.485596658773581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1.079002043171071E-3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27.171578900220926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1.1503826864272908E-3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5.8614681223348013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2.4816119334620677E-4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41.8537252740879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1.7719912815741289E-3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303.85606071299577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1.2864572673301218E-2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9.1848871922152693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3.8886717777840684E-4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19.493761084491805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8.2532138920963214E-4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564.95762387648915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2.3919017421079283E-2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1.5868763108295127E-2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2.6447938513825212E-2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2.8822906683357132E-4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4.8038177805595223E-4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1.4079315483876923E-3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2.346552580646154E-3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1.0346305885615165E-2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1.724384314269194E-2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4.8695912020228768E-5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8.1159853367047952E-5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2.7756088947111617E-4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4.6260148245186024E-4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3.1963512286707895E-4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5.3272520477846486E-4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3.2830602826511312E-4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5.471767137751885E-4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1.1913420507358911E-4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1.9855700845598185E-4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8.5067600570873478E-4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1.4177933428478914E-3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7.9607770734683274E-3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1.3267961789113878E-2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1.8668262140088016E-4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3.1113770233480025E-4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5.6946026268168721E-4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9.4910043780281215E-4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1.9803745556835544E-2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3.3006242594725912E-2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5639782.5749999993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2685610.75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817188.22499999998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389137.25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2417049.6749999998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2685610.75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350223.52499999997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389137.25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731043.6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348116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51958.2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24742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313304.39999999997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348116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22267.8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24742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14892033.799999999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10637167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1249882.8999999999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892773.5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6382300.2000000002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10637167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535664.1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892773.5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4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56589.718580969005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33114.421431902359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5658.9718580969002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33114.421431902359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56589.718580969005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5658.9718580969002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56589.718580969005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33114.421431902359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5658.9718580969002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33114.421431902359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56589.718580969005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5658.9718580969002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56589.718580969005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33114.421431902359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5658.9718580969002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33114.421431902359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56589.718580969005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5658.9718580969002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56589.718580969005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33114.421431902359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5658.9718580969002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33114.421431902359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56589.718580969005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5658.9718580969002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7079.2272378551706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4476.079861533899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707.92272378551706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4476.079861533899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7079.2272378551706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707.92272378551706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7079.2272378551706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4476.079861533899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707.92272378551706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4476.079861533899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7079.2272378551706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707.92272378551706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7079.2272378551706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4476.079861533899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707.92272378551706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4476.079861533899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7079.2272378551706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707.92272378551706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7079.2272378551706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4476.079861533899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707.92272378551706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4476.079861533899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7079.2272378551706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707.92272378551706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10841.000000000004</v>
      </c>
      <c r="I227" s="106">
        <f>SUMIFS(Havbrug!E$4:E$7,Havbrug!$A$4:$A$7,'Direkte input'!$B227,Havbrug!$B$4:$B$7,'Direkte input'!$A227)*SUMIFS(Havbrug!$F$4:$F$7,Havbrug!$A$4:$A$7,'Direkte input'!$B227,Havbrug!$B$4:$B$7,'Direkte input'!$A227)</f>
        <v>81307.500000000029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2708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20310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450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20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150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5" t="s">
        <v>190</v>
      </c>
      <c r="J1" s="155"/>
      <c r="K1" s="155"/>
      <c r="L1" s="155"/>
      <c r="M1" s="155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63313.545971354491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31184.283836637289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112833.22962148272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18335.399813490942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55237.148778432362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27206.356861018925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98440.006733673188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15996.501094221892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09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5481681.3895722609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5942609.9974529659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6026.76110076242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2559729.3122347672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195082.24112879008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415611.46668729465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1694199.9621387043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747642.63549727667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3614295.4216959961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4927283.1817266364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9572.3712807334177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3648548.212430995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327578.03456131206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1873981.9703949981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1348703.3945893398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794279.81933507253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422365.12127274036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505.82383463487201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2171978.2222519391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184388.53331270564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232776.9123387367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91481.870163795786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523700.97978136648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350201.77320858691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803.40558831123519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3145910.6406554594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172292.76645701905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172421.96543868803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260039.73398687298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164030.60068516529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0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6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0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0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0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0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0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0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0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0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0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0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0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0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0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0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0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4453697.1570319049</v>
      </c>
      <c r="G203" s="316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0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0</v>
      </c>
      <c r="G204" s="316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0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6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0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0</v>
      </c>
      <c r="G206" s="316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0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657932.41592395958</v>
      </c>
      <c r="G207" s="316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0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4311555.6383084813</v>
      </c>
      <c r="G208" s="316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0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327903.85901311738</v>
      </c>
      <c r="G209" s="316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0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6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0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6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0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9338080.0380292125</v>
      </c>
      <c r="G212" s="316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0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1144082.0425725533</v>
      </c>
      <c r="G213" s="316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0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809601.73248444556</v>
      </c>
      <c r="G214" s="316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0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393498.23725547997</v>
      </c>
      <c r="G215" s="316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0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29148.017574479996</v>
      </c>
      <c r="G216" s="316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0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1828597.931611574</v>
      </c>
      <c r="G217" s="316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0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3027382.7402155623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0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0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0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0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0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0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447226.91507025005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0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2930762.614221612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0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317451.28833478229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0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0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0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6347522.3700933382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0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777685.16963622137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0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1056621.1648235293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0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512667.7863489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0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19813.247781600003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0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0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0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0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0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0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0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0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0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0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0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0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0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0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0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0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0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544956.27419303753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0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0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0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0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0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0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80504.889625609634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0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527563.77764006588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0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40122.455344582697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0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0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0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1142611.4363447551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0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139990.36425435884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0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99063.211565328063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0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48148.61130324001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0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3566.5638002400005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0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223748.01893181339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0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368193.19308724854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0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0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0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0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0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0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54392.16644359615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0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356442.16067445499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0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38608.730223956329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0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0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0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771991.75994211878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0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94582.81637840427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0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128507.27970135745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0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62351.147987099997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0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2409.7062023999997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0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0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0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0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0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0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0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0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0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0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0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0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0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0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0">
        <v>1</v>
      </c>
      <c r="G285" s="170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0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0">
        <v>1</v>
      </c>
      <c r="G286" s="170">
        <v>1</v>
      </c>
    </row>
    <row r="287" spans="1:7" s="170" customFormat="1" x14ac:dyDescent="0.25">
      <c r="A287" s="170" t="s">
        <v>165</v>
      </c>
      <c r="B287" s="170" t="s">
        <v>23</v>
      </c>
      <c r="C287" s="170" t="s">
        <v>119</v>
      </c>
      <c r="D287" s="170">
        <f t="shared" si="20"/>
        <v>2019</v>
      </c>
      <c r="E287" s="170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0">
        <v>1</v>
      </c>
      <c r="G287" s="170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0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0">
        <v>1</v>
      </c>
      <c r="G288" s="170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0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0">
        <v>1</v>
      </c>
      <c r="G289" s="170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0">
        <v>1</v>
      </c>
    </row>
    <row r="291" spans="1:7" x14ac:dyDescent="0.25">
      <c r="A291" t="s">
        <v>121</v>
      </c>
      <c r="B291" t="s">
        <v>24</v>
      </c>
      <c r="C291" s="170" t="str">
        <f t="shared" ref="C291:C349" si="22">C279</f>
        <v>Rapsolie</v>
      </c>
      <c r="D291">
        <f t="shared" si="20"/>
        <v>2019</v>
      </c>
      <c r="E291" s="170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0">
        <v>1</v>
      </c>
    </row>
    <row r="292" spans="1:7" x14ac:dyDescent="0.25">
      <c r="A292" t="s">
        <v>121</v>
      </c>
      <c r="B292" t="s">
        <v>24</v>
      </c>
      <c r="C292" s="170" t="str">
        <f t="shared" si="22"/>
        <v>Pil &amp; poppel</v>
      </c>
      <c r="D292">
        <f t="shared" si="20"/>
        <v>2019</v>
      </c>
      <c r="E292" s="170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0">
        <v>1</v>
      </c>
    </row>
    <row r="293" spans="1:7" x14ac:dyDescent="0.25">
      <c r="A293" t="s">
        <v>121</v>
      </c>
      <c r="B293" t="s">
        <v>24</v>
      </c>
      <c r="C293" s="170" t="str">
        <f t="shared" si="22"/>
        <v>Træ til energi</v>
      </c>
      <c r="D293">
        <f t="shared" si="20"/>
        <v>2019</v>
      </c>
      <c r="E293" s="170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0">
        <v>1</v>
      </c>
    </row>
    <row r="294" spans="1:7" x14ac:dyDescent="0.25">
      <c r="A294" t="s">
        <v>121</v>
      </c>
      <c r="B294" t="s">
        <v>24</v>
      </c>
      <c r="C294" s="170" t="str">
        <f t="shared" si="22"/>
        <v>Have/parkaffald</v>
      </c>
      <c r="D294">
        <f t="shared" si="20"/>
        <v>2019</v>
      </c>
      <c r="E294" s="170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0">
        <v>1</v>
      </c>
    </row>
    <row r="295" spans="1:7" x14ac:dyDescent="0.25">
      <c r="A295" t="s">
        <v>121</v>
      </c>
      <c r="B295" t="s">
        <v>24</v>
      </c>
      <c r="C295" s="170" t="str">
        <f t="shared" si="22"/>
        <v>Bioaffald</v>
      </c>
      <c r="D295">
        <f t="shared" si="20"/>
        <v>2019</v>
      </c>
      <c r="E295" s="170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0">
        <v>1</v>
      </c>
    </row>
    <row r="296" spans="1:7" x14ac:dyDescent="0.25">
      <c r="A296" t="s">
        <v>165</v>
      </c>
      <c r="B296" t="s">
        <v>24</v>
      </c>
      <c r="C296" s="170" t="str">
        <f t="shared" si="22"/>
        <v>Halm</v>
      </c>
      <c r="D296">
        <f t="shared" si="20"/>
        <v>2019</v>
      </c>
      <c r="E296" s="170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0">
        <v>1</v>
      </c>
      <c r="G296" s="170">
        <v>1</v>
      </c>
    </row>
    <row r="297" spans="1:7" x14ac:dyDescent="0.25">
      <c r="A297" t="s">
        <v>165</v>
      </c>
      <c r="B297" t="s">
        <v>24</v>
      </c>
      <c r="C297" s="170" t="str">
        <f t="shared" si="22"/>
        <v>Rapsolie</v>
      </c>
      <c r="D297">
        <f t="shared" si="20"/>
        <v>2019</v>
      </c>
      <c r="E297" s="170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0">
        <v>1</v>
      </c>
      <c r="G297" s="170">
        <v>1</v>
      </c>
    </row>
    <row r="298" spans="1:7" x14ac:dyDescent="0.25">
      <c r="A298" t="s">
        <v>165</v>
      </c>
      <c r="B298" t="s">
        <v>24</v>
      </c>
      <c r="C298" s="170" t="str">
        <f t="shared" si="22"/>
        <v>Pil &amp; poppel</v>
      </c>
      <c r="D298">
        <f t="shared" si="20"/>
        <v>2019</v>
      </c>
      <c r="E298" s="170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0">
        <v>1</v>
      </c>
      <c r="G298" s="170">
        <v>1</v>
      </c>
    </row>
    <row r="299" spans="1:7" s="170" customFormat="1" x14ac:dyDescent="0.25">
      <c r="A299" s="170" t="s">
        <v>165</v>
      </c>
      <c r="B299" s="170" t="s">
        <v>24</v>
      </c>
      <c r="C299" s="170" t="str">
        <f t="shared" si="22"/>
        <v>Træmaterialer</v>
      </c>
      <c r="D299" s="170">
        <f t="shared" si="20"/>
        <v>2019</v>
      </c>
      <c r="E299" s="170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0">
        <v>1</v>
      </c>
      <c r="G299" s="170">
        <v>1</v>
      </c>
    </row>
    <row r="300" spans="1:7" x14ac:dyDescent="0.25">
      <c r="A300" t="s">
        <v>165</v>
      </c>
      <c r="B300" t="s">
        <v>24</v>
      </c>
      <c r="C300" s="170" t="str">
        <f t="shared" si="22"/>
        <v>Have/parkaffald</v>
      </c>
      <c r="D300">
        <f t="shared" si="20"/>
        <v>2019</v>
      </c>
      <c r="E300" s="17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0">
        <v>1</v>
      </c>
      <c r="G300" s="170">
        <v>1</v>
      </c>
    </row>
    <row r="301" spans="1:7" x14ac:dyDescent="0.25">
      <c r="A301" t="s">
        <v>165</v>
      </c>
      <c r="B301" t="s">
        <v>24</v>
      </c>
      <c r="C301" s="170" t="str">
        <f t="shared" si="22"/>
        <v>Bioaffald</v>
      </c>
      <c r="D301">
        <f t="shared" si="20"/>
        <v>2019</v>
      </c>
      <c r="E301" s="170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0">
        <v>1</v>
      </c>
      <c r="G301" s="170">
        <v>1</v>
      </c>
    </row>
    <row r="302" spans="1:7" x14ac:dyDescent="0.25">
      <c r="A302" t="s">
        <v>121</v>
      </c>
      <c r="B302" t="s">
        <v>23</v>
      </c>
      <c r="C302" s="170" t="str">
        <f>C290</f>
        <v>Halm</v>
      </c>
      <c r="D302">
        <f t="shared" ref="D302:D325" si="23">År2</f>
        <v>2030</v>
      </c>
      <c r="E302" s="170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1119079.1108234245</v>
      </c>
      <c r="F302" s="170">
        <v>1</v>
      </c>
    </row>
    <row r="303" spans="1:7" x14ac:dyDescent="0.25">
      <c r="A303" t="s">
        <v>121</v>
      </c>
      <c r="B303" t="s">
        <v>23</v>
      </c>
      <c r="C303" s="170" t="str">
        <f t="shared" si="22"/>
        <v>Rapsolie</v>
      </c>
      <c r="D303">
        <f t="shared" si="23"/>
        <v>2030</v>
      </c>
      <c r="E303" s="170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195676.41783295566</v>
      </c>
      <c r="F303" s="170">
        <v>1</v>
      </c>
    </row>
    <row r="304" spans="1:7" x14ac:dyDescent="0.25">
      <c r="A304" t="s">
        <v>121</v>
      </c>
      <c r="B304" t="s">
        <v>23</v>
      </c>
      <c r="C304" s="170" t="str">
        <f t="shared" si="22"/>
        <v>Pil &amp; poppel</v>
      </c>
      <c r="D304">
        <f t="shared" si="23"/>
        <v>2030</v>
      </c>
      <c r="E304" s="170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124648.5815119847</v>
      </c>
      <c r="F304" s="170">
        <v>1</v>
      </c>
    </row>
    <row r="305" spans="1:7" x14ac:dyDescent="0.25">
      <c r="A305" t="s">
        <v>121</v>
      </c>
      <c r="B305" t="s">
        <v>23</v>
      </c>
      <c r="C305" s="170" t="str">
        <f t="shared" si="22"/>
        <v>Træ til energi</v>
      </c>
      <c r="D305">
        <f t="shared" si="23"/>
        <v>2030</v>
      </c>
      <c r="E305" s="170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2226876.9610476061</v>
      </c>
      <c r="F305" s="170">
        <v>1</v>
      </c>
    </row>
    <row r="306" spans="1:7" x14ac:dyDescent="0.25">
      <c r="A306" t="s">
        <v>121</v>
      </c>
      <c r="B306" t="s">
        <v>23</v>
      </c>
      <c r="C306" s="170" t="str">
        <f t="shared" si="22"/>
        <v>Have/parkaffald</v>
      </c>
      <c r="D306">
        <f t="shared" si="23"/>
        <v>2030</v>
      </c>
      <c r="E306" s="170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97976.042029459204</v>
      </c>
      <c r="F306" s="170">
        <v>1</v>
      </c>
    </row>
    <row r="307" spans="1:7" x14ac:dyDescent="0.25">
      <c r="A307" t="s">
        <v>121</v>
      </c>
      <c r="B307" t="s">
        <v>23</v>
      </c>
      <c r="C307" s="170" t="str">
        <f t="shared" si="22"/>
        <v>Bioaffald</v>
      </c>
      <c r="D307">
        <f t="shared" si="23"/>
        <v>2030</v>
      </c>
      <c r="E307" s="170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10619.848294116964</v>
      </c>
      <c r="F307" s="170">
        <v>1</v>
      </c>
    </row>
    <row r="308" spans="1:7" x14ac:dyDescent="0.25">
      <c r="A308" t="s">
        <v>165</v>
      </c>
      <c r="B308" t="s">
        <v>23</v>
      </c>
      <c r="C308" s="170" t="str">
        <f t="shared" si="22"/>
        <v>Halm</v>
      </c>
      <c r="D308">
        <f t="shared" si="23"/>
        <v>2030</v>
      </c>
      <c r="E308" s="170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0">
        <v>1</v>
      </c>
      <c r="G308" s="170">
        <v>1</v>
      </c>
    </row>
    <row r="309" spans="1:7" x14ac:dyDescent="0.25">
      <c r="A309" t="s">
        <v>165</v>
      </c>
      <c r="B309" t="s">
        <v>23</v>
      </c>
      <c r="C309" s="170" t="str">
        <f t="shared" si="22"/>
        <v>Rapsolie</v>
      </c>
      <c r="D309">
        <f t="shared" si="23"/>
        <v>2030</v>
      </c>
      <c r="E309" s="170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0">
        <v>1</v>
      </c>
      <c r="G309" s="170">
        <v>1</v>
      </c>
    </row>
    <row r="310" spans="1:7" x14ac:dyDescent="0.25">
      <c r="A310" t="s">
        <v>165</v>
      </c>
      <c r="B310" t="s">
        <v>23</v>
      </c>
      <c r="C310" s="170" t="str">
        <f t="shared" si="22"/>
        <v>Pil &amp; poppel</v>
      </c>
      <c r="D310">
        <f t="shared" si="23"/>
        <v>2030</v>
      </c>
      <c r="E310" s="17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0">
        <v>1</v>
      </c>
      <c r="G310" s="170">
        <v>1</v>
      </c>
    </row>
    <row r="311" spans="1:7" s="170" customFormat="1" x14ac:dyDescent="0.25">
      <c r="A311" s="170" t="s">
        <v>165</v>
      </c>
      <c r="B311" s="170" t="s">
        <v>23</v>
      </c>
      <c r="C311" s="170" t="str">
        <f t="shared" si="22"/>
        <v>Træmaterialer</v>
      </c>
      <c r="D311" s="170">
        <f t="shared" si="23"/>
        <v>2030</v>
      </c>
      <c r="E311" s="170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613716.58108207851</v>
      </c>
      <c r="F311" s="170">
        <v>1</v>
      </c>
      <c r="G311" s="170">
        <v>1</v>
      </c>
    </row>
    <row r="312" spans="1:7" x14ac:dyDescent="0.25">
      <c r="A312" t="s">
        <v>165</v>
      </c>
      <c r="B312" t="s">
        <v>23</v>
      </c>
      <c r="C312" s="170" t="str">
        <f t="shared" si="22"/>
        <v>Have/parkaffald</v>
      </c>
      <c r="D312">
        <f t="shared" si="23"/>
        <v>2030</v>
      </c>
      <c r="E312" s="170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0">
        <v>1</v>
      </c>
      <c r="G312" s="170">
        <v>1</v>
      </c>
    </row>
    <row r="313" spans="1:7" x14ac:dyDescent="0.25">
      <c r="A313" t="s">
        <v>165</v>
      </c>
      <c r="B313" t="s">
        <v>23</v>
      </c>
      <c r="C313" s="170" t="str">
        <f t="shared" si="22"/>
        <v>Bioaffald</v>
      </c>
      <c r="D313">
        <f t="shared" si="23"/>
        <v>2030</v>
      </c>
      <c r="E313" s="170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0">
        <v>1</v>
      </c>
      <c r="G313" s="170">
        <v>1</v>
      </c>
    </row>
    <row r="314" spans="1:7" x14ac:dyDescent="0.25">
      <c r="A314" t="s">
        <v>121</v>
      </c>
      <c r="B314" t="s">
        <v>24</v>
      </c>
      <c r="C314" s="170" t="str">
        <f>C302</f>
        <v>Halm</v>
      </c>
      <c r="D314">
        <f t="shared" si="23"/>
        <v>2030</v>
      </c>
      <c r="E314" s="170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406492.37528769014</v>
      </c>
      <c r="F314" s="170">
        <v>1</v>
      </c>
    </row>
    <row r="315" spans="1:7" x14ac:dyDescent="0.25">
      <c r="A315" t="s">
        <v>121</v>
      </c>
      <c r="B315" t="s">
        <v>24</v>
      </c>
      <c r="C315" s="170" t="str">
        <f t="shared" si="22"/>
        <v>Rapsolie</v>
      </c>
      <c r="D315">
        <f t="shared" si="23"/>
        <v>2030</v>
      </c>
      <c r="E315" s="170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63217.001274335715</v>
      </c>
      <c r="F315" s="170">
        <v>1</v>
      </c>
    </row>
    <row r="316" spans="1:7" x14ac:dyDescent="0.25">
      <c r="A316" t="s">
        <v>121</v>
      </c>
      <c r="B316" t="s">
        <v>24</v>
      </c>
      <c r="C316" s="170" t="str">
        <f t="shared" si="22"/>
        <v>Pil &amp; poppel</v>
      </c>
      <c r="D316">
        <f t="shared" si="23"/>
        <v>2030</v>
      </c>
      <c r="E316" s="170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36846.931969416735</v>
      </c>
      <c r="F316" s="170">
        <v>1</v>
      </c>
    </row>
    <row r="317" spans="1:7" x14ac:dyDescent="0.25">
      <c r="A317" t="s">
        <v>121</v>
      </c>
      <c r="B317" t="s">
        <v>24</v>
      </c>
      <c r="C317" s="170" t="str">
        <f t="shared" si="22"/>
        <v>Træ til energi</v>
      </c>
      <c r="D317">
        <f t="shared" si="23"/>
        <v>2030</v>
      </c>
      <c r="E317" s="170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647935.48316961934</v>
      </c>
      <c r="F317" s="170">
        <v>1</v>
      </c>
    </row>
    <row r="318" spans="1:7" x14ac:dyDescent="0.25">
      <c r="A318" t="s">
        <v>121</v>
      </c>
      <c r="B318" t="s">
        <v>24</v>
      </c>
      <c r="C318" s="170" t="str">
        <f t="shared" si="22"/>
        <v>Have/parkaffald</v>
      </c>
      <c r="D318">
        <f t="shared" si="23"/>
        <v>2030</v>
      </c>
      <c r="E318" s="170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84832.957970540854</v>
      </c>
      <c r="F318" s="170">
        <v>1</v>
      </c>
    </row>
    <row r="319" spans="1:7" x14ac:dyDescent="0.25">
      <c r="A319" t="s">
        <v>121</v>
      </c>
      <c r="B319" t="s">
        <v>24</v>
      </c>
      <c r="C319" s="170" t="str">
        <f t="shared" si="22"/>
        <v>Bioaffald</v>
      </c>
      <c r="D319">
        <f t="shared" si="23"/>
        <v>2030</v>
      </c>
      <c r="E319" s="170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9195.2392169247032</v>
      </c>
      <c r="F319" s="170">
        <v>1</v>
      </c>
    </row>
    <row r="320" spans="1:7" x14ac:dyDescent="0.25">
      <c r="A320" t="s">
        <v>165</v>
      </c>
      <c r="B320" t="s">
        <v>24</v>
      </c>
      <c r="C320" s="170" t="str">
        <f t="shared" si="22"/>
        <v>Halm</v>
      </c>
      <c r="D320">
        <f t="shared" si="23"/>
        <v>2030</v>
      </c>
      <c r="E320" s="17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0">
        <v>1</v>
      </c>
      <c r="G320" s="170">
        <v>1</v>
      </c>
    </row>
    <row r="321" spans="1:7" x14ac:dyDescent="0.25">
      <c r="A321" t="s">
        <v>165</v>
      </c>
      <c r="B321" t="s">
        <v>24</v>
      </c>
      <c r="C321" s="170" t="str">
        <f t="shared" si="22"/>
        <v>Rapsolie</v>
      </c>
      <c r="D321">
        <f t="shared" si="23"/>
        <v>2030</v>
      </c>
      <c r="E321" s="170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0">
        <v>1</v>
      </c>
      <c r="G321" s="170">
        <v>1</v>
      </c>
    </row>
    <row r="322" spans="1:7" x14ac:dyDescent="0.25">
      <c r="A322" t="s">
        <v>165</v>
      </c>
      <c r="B322" t="s">
        <v>24</v>
      </c>
      <c r="C322" s="170" t="str">
        <f t="shared" si="22"/>
        <v>Pil &amp; poppel</v>
      </c>
      <c r="D322">
        <f t="shared" si="23"/>
        <v>2030</v>
      </c>
      <c r="E322" s="170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0">
        <v>1</v>
      </c>
      <c r="G322" s="170">
        <v>1</v>
      </c>
    </row>
    <row r="323" spans="1:7" s="170" customFormat="1" x14ac:dyDescent="0.25">
      <c r="A323" s="170" t="s">
        <v>165</v>
      </c>
      <c r="B323" s="170" t="s">
        <v>24</v>
      </c>
      <c r="C323" s="170" t="str">
        <f t="shared" si="22"/>
        <v>Træmaterialer</v>
      </c>
      <c r="D323" s="170">
        <f t="shared" si="23"/>
        <v>2030</v>
      </c>
      <c r="E323" s="170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178333.04788774872</v>
      </c>
      <c r="F323" s="170">
        <v>1</v>
      </c>
      <c r="G323" s="170">
        <v>1</v>
      </c>
    </row>
    <row r="324" spans="1:7" x14ac:dyDescent="0.25">
      <c r="A324" t="s">
        <v>165</v>
      </c>
      <c r="B324" t="s">
        <v>24</v>
      </c>
      <c r="C324" s="170" t="str">
        <f t="shared" si="22"/>
        <v>Have/parkaffald</v>
      </c>
      <c r="D324">
        <f t="shared" si="23"/>
        <v>2030</v>
      </c>
      <c r="E324" s="170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0">
        <v>1</v>
      </c>
      <c r="G324" s="170">
        <v>1</v>
      </c>
    </row>
    <row r="325" spans="1:7" x14ac:dyDescent="0.25">
      <c r="A325" t="s">
        <v>165</v>
      </c>
      <c r="B325" t="s">
        <v>24</v>
      </c>
      <c r="C325" s="170" t="str">
        <f t="shared" si="22"/>
        <v>Bioaffald</v>
      </c>
      <c r="D325">
        <f t="shared" si="23"/>
        <v>2030</v>
      </c>
      <c r="E325" s="170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0">
        <v>1</v>
      </c>
      <c r="G325" s="170">
        <v>1</v>
      </c>
    </row>
    <row r="326" spans="1:7" x14ac:dyDescent="0.25">
      <c r="A326" t="s">
        <v>121</v>
      </c>
      <c r="B326" t="s">
        <v>23</v>
      </c>
      <c r="C326" s="170" t="str">
        <f>C314</f>
        <v>Halm</v>
      </c>
      <c r="D326">
        <f t="shared" ref="D326:D349" si="24">År3</f>
        <v>2050</v>
      </c>
      <c r="E326" s="170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483071.86454684939</v>
      </c>
      <c r="F326" s="170">
        <v>1</v>
      </c>
    </row>
    <row r="327" spans="1:7" x14ac:dyDescent="0.25">
      <c r="A327" t="s">
        <v>121</v>
      </c>
      <c r="B327" t="s">
        <v>23</v>
      </c>
      <c r="C327" s="170" t="str">
        <f t="shared" si="22"/>
        <v>Rapsolie</v>
      </c>
      <c r="D327">
        <f t="shared" si="24"/>
        <v>2050</v>
      </c>
      <c r="E327" s="170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168211.99766544558</v>
      </c>
      <c r="F327" s="170">
        <v>1</v>
      </c>
    </row>
    <row r="328" spans="1:7" x14ac:dyDescent="0.25">
      <c r="A328" t="s">
        <v>121</v>
      </c>
      <c r="B328" t="s">
        <v>23</v>
      </c>
      <c r="C328" s="170" t="str">
        <f t="shared" si="22"/>
        <v>Pil &amp; poppel</v>
      </c>
      <c r="D328">
        <f t="shared" si="24"/>
        <v>2050</v>
      </c>
      <c r="E328" s="170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83602.19105177233</v>
      </c>
      <c r="F328" s="170">
        <v>1</v>
      </c>
    </row>
    <row r="329" spans="1:7" x14ac:dyDescent="0.25">
      <c r="A329" t="s">
        <v>121</v>
      </c>
      <c r="B329" t="s">
        <v>23</v>
      </c>
      <c r="C329" s="170" t="str">
        <f t="shared" si="22"/>
        <v>Træ til energi</v>
      </c>
      <c r="D329">
        <f t="shared" si="24"/>
        <v>2050</v>
      </c>
      <c r="E329" s="170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2341876.9484984945</v>
      </c>
      <c r="F329" s="170">
        <v>1</v>
      </c>
    </row>
    <row r="330" spans="1:7" x14ac:dyDescent="0.25">
      <c r="A330" t="s">
        <v>121</v>
      </c>
      <c r="B330" t="s">
        <v>23</v>
      </c>
      <c r="C330" s="170" t="str">
        <f t="shared" si="22"/>
        <v>Have/parkaffald</v>
      </c>
      <c r="D330">
        <f t="shared" si="24"/>
        <v>2050</v>
      </c>
      <c r="E330" s="17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97631.532652811788</v>
      </c>
      <c r="F330" s="170">
        <v>1</v>
      </c>
    </row>
    <row r="331" spans="1:7" x14ac:dyDescent="0.25">
      <c r="A331" t="s">
        <v>121</v>
      </c>
      <c r="B331" t="s">
        <v>23</v>
      </c>
      <c r="C331" s="170" t="str">
        <f t="shared" si="22"/>
        <v>Bioaffald</v>
      </c>
      <c r="D331">
        <f t="shared" si="24"/>
        <v>2050</v>
      </c>
      <c r="E331" s="170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12429.230254746712</v>
      </c>
      <c r="F331" s="170">
        <v>1</v>
      </c>
    </row>
    <row r="332" spans="1:7" x14ac:dyDescent="0.25">
      <c r="A332" t="s">
        <v>165</v>
      </c>
      <c r="B332" t="s">
        <v>23</v>
      </c>
      <c r="C332" s="170" t="str">
        <f t="shared" si="22"/>
        <v>Halm</v>
      </c>
      <c r="D332">
        <f t="shared" si="24"/>
        <v>2050</v>
      </c>
      <c r="E332" s="170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0">
        <v>1</v>
      </c>
      <c r="G332" s="170">
        <v>1</v>
      </c>
    </row>
    <row r="333" spans="1:7" x14ac:dyDescent="0.25">
      <c r="A333" t="s">
        <v>165</v>
      </c>
      <c r="B333" t="s">
        <v>23</v>
      </c>
      <c r="C333" s="170" t="str">
        <f t="shared" si="22"/>
        <v>Rapsolie</v>
      </c>
      <c r="D333">
        <f t="shared" si="24"/>
        <v>2050</v>
      </c>
      <c r="E333" s="170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0">
        <v>1</v>
      </c>
      <c r="G333" s="170">
        <v>1</v>
      </c>
    </row>
    <row r="334" spans="1:7" x14ac:dyDescent="0.25">
      <c r="A334" t="s">
        <v>165</v>
      </c>
      <c r="B334" t="s">
        <v>23</v>
      </c>
      <c r="C334" s="170" t="str">
        <f t="shared" si="22"/>
        <v>Pil &amp; poppel</v>
      </c>
      <c r="D334">
        <f t="shared" si="24"/>
        <v>2050</v>
      </c>
      <c r="E334" s="170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0">
        <v>1</v>
      </c>
      <c r="G334" s="170">
        <v>1</v>
      </c>
    </row>
    <row r="335" spans="1:7" s="170" customFormat="1" x14ac:dyDescent="0.25">
      <c r="A335" s="170" t="s">
        <v>165</v>
      </c>
      <c r="B335" s="170" t="s">
        <v>23</v>
      </c>
      <c r="C335" s="170" t="str">
        <f t="shared" si="22"/>
        <v>Træmaterialer</v>
      </c>
      <c r="D335" s="170">
        <f t="shared" si="24"/>
        <v>2050</v>
      </c>
      <c r="E335" s="170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689715.35963233898</v>
      </c>
      <c r="F335" s="170">
        <v>1</v>
      </c>
      <c r="G335" s="170">
        <v>1</v>
      </c>
    </row>
    <row r="336" spans="1:7" x14ac:dyDescent="0.25">
      <c r="A336" t="s">
        <v>165</v>
      </c>
      <c r="B336" t="s">
        <v>23</v>
      </c>
      <c r="C336" s="170" t="str">
        <f t="shared" si="22"/>
        <v>Have/parkaffald</v>
      </c>
      <c r="D336">
        <f t="shared" si="24"/>
        <v>2050</v>
      </c>
      <c r="E336" s="170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0">
        <v>1</v>
      </c>
      <c r="G336" s="170">
        <v>1</v>
      </c>
    </row>
    <row r="337" spans="1:7" x14ac:dyDescent="0.25">
      <c r="A337" t="s">
        <v>165</v>
      </c>
      <c r="B337" t="s">
        <v>23</v>
      </c>
      <c r="C337" s="170" t="str">
        <f t="shared" si="22"/>
        <v>Bioaffald</v>
      </c>
      <c r="D337">
        <f t="shared" si="24"/>
        <v>2050</v>
      </c>
      <c r="E337" s="170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0">
        <v>1</v>
      </c>
      <c r="G337" s="170">
        <v>1</v>
      </c>
    </row>
    <row r="338" spans="1:7" x14ac:dyDescent="0.25">
      <c r="A338" t="s">
        <v>121</v>
      </c>
      <c r="B338" t="s">
        <v>24</v>
      </c>
      <c r="C338" s="170" t="str">
        <f>C326</f>
        <v>Halm</v>
      </c>
      <c r="D338">
        <f t="shared" si="24"/>
        <v>2050</v>
      </c>
      <c r="E338" s="170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190717.92520308075</v>
      </c>
      <c r="F338" s="170">
        <v>1</v>
      </c>
    </row>
    <row r="339" spans="1:7" x14ac:dyDescent="0.25">
      <c r="A339" t="s">
        <v>121</v>
      </c>
      <c r="B339" t="s">
        <v>24</v>
      </c>
      <c r="C339" s="170" t="str">
        <f t="shared" si="22"/>
        <v>Rapsolie</v>
      </c>
      <c r="D339">
        <f t="shared" si="24"/>
        <v>2050</v>
      </c>
      <c r="E339" s="170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60667.559030386925</v>
      </c>
      <c r="F339" s="170">
        <v>1</v>
      </c>
    </row>
    <row r="340" spans="1:7" x14ac:dyDescent="0.25">
      <c r="A340" t="s">
        <v>121</v>
      </c>
      <c r="B340" t="s">
        <v>24</v>
      </c>
      <c r="C340" s="170" t="str">
        <f t="shared" si="22"/>
        <v>Pil &amp; poppel</v>
      </c>
      <c r="D340">
        <f t="shared" si="24"/>
        <v>2050</v>
      </c>
      <c r="E340" s="17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30151.8698273154</v>
      </c>
      <c r="F340" s="170">
        <v>1</v>
      </c>
    </row>
    <row r="341" spans="1:7" x14ac:dyDescent="0.25">
      <c r="A341" t="s">
        <v>121</v>
      </c>
      <c r="B341" t="s">
        <v>24</v>
      </c>
      <c r="C341" s="170" t="str">
        <f t="shared" si="22"/>
        <v>Træ til energi</v>
      </c>
      <c r="D341">
        <f t="shared" si="24"/>
        <v>2050</v>
      </c>
      <c r="E341" s="170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628453.92541579902</v>
      </c>
      <c r="F341" s="170">
        <v>1</v>
      </c>
    </row>
    <row r="342" spans="1:7" x14ac:dyDescent="0.25">
      <c r="A342" t="s">
        <v>121</v>
      </c>
      <c r="B342" t="s">
        <v>24</v>
      </c>
      <c r="C342" s="170" t="str">
        <f t="shared" si="22"/>
        <v>Have/parkaffald</v>
      </c>
      <c r="D342">
        <f t="shared" si="24"/>
        <v>2050</v>
      </c>
      <c r="E342" s="170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85177.467347188154</v>
      </c>
      <c r="F342" s="170">
        <v>1</v>
      </c>
    </row>
    <row r="343" spans="1:7" x14ac:dyDescent="0.25">
      <c r="A343" t="s">
        <v>121</v>
      </c>
      <c r="B343" t="s">
        <v>24</v>
      </c>
      <c r="C343" s="170" t="str">
        <f t="shared" si="22"/>
        <v>Bioaffald</v>
      </c>
      <c r="D343">
        <f t="shared" si="24"/>
        <v>2050</v>
      </c>
      <c r="E343" s="170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10843.733836886386</v>
      </c>
      <c r="F343" s="170">
        <v>1</v>
      </c>
    </row>
    <row r="344" spans="1:7" x14ac:dyDescent="0.25">
      <c r="A344" t="s">
        <v>165</v>
      </c>
      <c r="B344" t="s">
        <v>24</v>
      </c>
      <c r="C344" s="170" t="str">
        <f t="shared" si="22"/>
        <v>Halm</v>
      </c>
      <c r="D344">
        <f t="shared" si="24"/>
        <v>2050</v>
      </c>
      <c r="E344" s="170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0">
        <v>1</v>
      </c>
      <c r="G344" s="170">
        <v>1</v>
      </c>
    </row>
    <row r="345" spans="1:7" x14ac:dyDescent="0.25">
      <c r="A345" t="s">
        <v>165</v>
      </c>
      <c r="B345" t="s">
        <v>24</v>
      </c>
      <c r="C345" s="170" t="str">
        <f t="shared" si="22"/>
        <v>Rapsolie</v>
      </c>
      <c r="D345">
        <f t="shared" si="24"/>
        <v>2050</v>
      </c>
      <c r="E345" s="170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0">
        <v>1</v>
      </c>
      <c r="G345" s="170">
        <v>1</v>
      </c>
    </row>
    <row r="346" spans="1:7" x14ac:dyDescent="0.25">
      <c r="A346" t="s">
        <v>165</v>
      </c>
      <c r="B346" t="s">
        <v>24</v>
      </c>
      <c r="C346" s="170" t="str">
        <f t="shared" si="22"/>
        <v>Pil &amp; poppel</v>
      </c>
      <c r="D346">
        <f t="shared" si="24"/>
        <v>2050</v>
      </c>
      <c r="E346" s="170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0">
        <v>1</v>
      </c>
      <c r="G346" s="170">
        <v>1</v>
      </c>
    </row>
    <row r="347" spans="1:7" s="170" customFormat="1" x14ac:dyDescent="0.25">
      <c r="A347" s="170" t="s">
        <v>165</v>
      </c>
      <c r="B347" s="170" t="s">
        <v>24</v>
      </c>
      <c r="C347" s="170" t="str">
        <f t="shared" si="22"/>
        <v>Træmaterialer</v>
      </c>
      <c r="D347" s="170">
        <f t="shared" si="24"/>
        <v>2050</v>
      </c>
      <c r="E347" s="170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178611.5006135212</v>
      </c>
      <c r="F347" s="170">
        <v>1</v>
      </c>
      <c r="G347" s="170">
        <v>1</v>
      </c>
    </row>
    <row r="348" spans="1:7" x14ac:dyDescent="0.25">
      <c r="A348" t="s">
        <v>165</v>
      </c>
      <c r="B348" t="s">
        <v>24</v>
      </c>
      <c r="C348" s="170" t="str">
        <f t="shared" si="22"/>
        <v>Have/parkaffald</v>
      </c>
      <c r="D348">
        <f t="shared" si="24"/>
        <v>2050</v>
      </c>
      <c r="E348" s="170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0">
        <v>1</v>
      </c>
      <c r="G348" s="170">
        <v>1</v>
      </c>
    </row>
    <row r="349" spans="1:7" x14ac:dyDescent="0.25">
      <c r="A349" t="s">
        <v>165</v>
      </c>
      <c r="B349" t="s">
        <v>24</v>
      </c>
      <c r="C349" s="170" t="str">
        <f t="shared" si="22"/>
        <v>Bioaffald</v>
      </c>
      <c r="D349">
        <f t="shared" si="24"/>
        <v>2050</v>
      </c>
      <c r="E349" s="170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0">
        <v>1</v>
      </c>
      <c r="G349" s="170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2951674.5943850633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3199866.9217054429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3245.1790542566873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345356.14612827433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11764874.104094444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1228477.143126321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401588.38018844387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547475.90908073727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1063.5968089703795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78826.225738837195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8808668.0901926495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1105939.1537963203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427689.13348811591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227427.37299301403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272.36668018800799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47450.678284434784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2988113.0405047191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491101.64058741054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58188.99775348515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38911.308134287421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89.267287590137229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10938.179286749417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2772967.1013813135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428883.93622894585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0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2353861.1061256947</v>
      </c>
      <c r="G387" s="170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3066719.6149769477</v>
      </c>
      <c r="G388" s="170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0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288019.44387638377</v>
      </c>
      <c r="G390" s="170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372977.38153229345</v>
      </c>
      <c r="G391" s="170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0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611488.80572798639</v>
      </c>
      <c r="G393" s="170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525662.49270451744</v>
      </c>
      <c r="G394" s="170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0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197553.12898229909</v>
      </c>
      <c r="G396" s="170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189586.12196995915</v>
      </c>
      <c r="G397" s="170">
        <v>1</v>
      </c>
    </row>
    <row r="398" spans="1:7" x14ac:dyDescent="0.25">
      <c r="A398" t="s">
        <v>320</v>
      </c>
      <c r="B398" s="170" t="s">
        <v>23</v>
      </c>
      <c r="C398" t="s">
        <v>68</v>
      </c>
      <c r="D398" s="170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0">
        <v>1</v>
      </c>
    </row>
    <row r="399" spans="1:7" x14ac:dyDescent="0.25">
      <c r="A399" s="170" t="s">
        <v>320</v>
      </c>
      <c r="B399" s="170" t="s">
        <v>23</v>
      </c>
      <c r="C399" s="170" t="s">
        <v>68</v>
      </c>
      <c r="D399" s="170">
        <f>År2</f>
        <v>2030</v>
      </c>
      <c r="E399" s="170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1085650.2622768846</v>
      </c>
      <c r="G399" s="170">
        <v>1</v>
      </c>
    </row>
    <row r="400" spans="1:7" x14ac:dyDescent="0.25">
      <c r="A400" s="170" t="s">
        <v>320</v>
      </c>
      <c r="B400" s="170" t="s">
        <v>23</v>
      </c>
      <c r="C400" s="170" t="s">
        <v>68</v>
      </c>
      <c r="D400" s="170">
        <f>År3</f>
        <v>2050</v>
      </c>
      <c r="E400" s="170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1792368.5988405086</v>
      </c>
      <c r="G400" s="170">
        <v>1</v>
      </c>
    </row>
    <row r="401" spans="1:7" x14ac:dyDescent="0.25">
      <c r="A401" s="170" t="s">
        <v>320</v>
      </c>
      <c r="B401" s="170" t="s">
        <v>24</v>
      </c>
      <c r="C401" s="170" t="s">
        <v>68</v>
      </c>
      <c r="D401" s="170">
        <f>År1</f>
        <v>2019</v>
      </c>
      <c r="E401" s="170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0">
        <v>1</v>
      </c>
    </row>
    <row r="402" spans="1:7" x14ac:dyDescent="0.25">
      <c r="A402" s="170" t="s">
        <v>320</v>
      </c>
      <c r="B402" s="170" t="s">
        <v>24</v>
      </c>
      <c r="C402" s="170" t="s">
        <v>68</v>
      </c>
      <c r="D402" s="170">
        <f>År2</f>
        <v>2030</v>
      </c>
      <c r="E402" s="170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394349.73772311531</v>
      </c>
      <c r="G402" s="170">
        <v>1</v>
      </c>
    </row>
    <row r="403" spans="1:7" x14ac:dyDescent="0.25">
      <c r="A403" s="170" t="s">
        <v>320</v>
      </c>
      <c r="B403" s="170" t="s">
        <v>24</v>
      </c>
      <c r="C403" s="170" t="s">
        <v>68</v>
      </c>
      <c r="D403" s="170">
        <f>År3</f>
        <v>2050</v>
      </c>
      <c r="E403" s="170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707631.40115949092</v>
      </c>
      <c r="G403" s="170">
        <v>1</v>
      </c>
    </row>
    <row r="404" spans="1:7" x14ac:dyDescent="0.25">
      <c r="A404" s="170" t="s">
        <v>121</v>
      </c>
      <c r="B404" s="170" t="s">
        <v>23</v>
      </c>
      <c r="C404" s="170" t="s">
        <v>316</v>
      </c>
      <c r="D404" s="170">
        <f t="shared" ref="D404:D411" si="31">År1</f>
        <v>2019</v>
      </c>
      <c r="E404" s="170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0">
        <v>1</v>
      </c>
    </row>
    <row r="405" spans="1:7" x14ac:dyDescent="0.25">
      <c r="A405" s="170" t="s">
        <v>121</v>
      </c>
      <c r="B405" s="170" t="s">
        <v>23</v>
      </c>
      <c r="C405" s="170" t="s">
        <v>317</v>
      </c>
      <c r="D405" s="170">
        <f t="shared" si="31"/>
        <v>2019</v>
      </c>
      <c r="E405" s="170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0">
        <v>1</v>
      </c>
    </row>
    <row r="406" spans="1:7" x14ac:dyDescent="0.25">
      <c r="A406" s="170" t="s">
        <v>121</v>
      </c>
      <c r="B406" s="170" t="s">
        <v>23</v>
      </c>
      <c r="C406" s="170" t="s">
        <v>316</v>
      </c>
      <c r="D406" s="170">
        <f>År2</f>
        <v>2030</v>
      </c>
      <c r="E406" s="170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607964.14687505551</v>
      </c>
      <c r="F406" s="170">
        <v>1</v>
      </c>
    </row>
    <row r="407" spans="1:7" x14ac:dyDescent="0.25">
      <c r="A407" s="170" t="s">
        <v>121</v>
      </c>
      <c r="B407" s="170" t="s">
        <v>23</v>
      </c>
      <c r="C407" s="170" t="s">
        <v>317</v>
      </c>
      <c r="D407" s="170">
        <f>År2</f>
        <v>2030</v>
      </c>
      <c r="E407" s="170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151991.03671876388</v>
      </c>
      <c r="F407" s="170">
        <v>1</v>
      </c>
    </row>
    <row r="408" spans="1:7" x14ac:dyDescent="0.25">
      <c r="A408" s="170" t="s">
        <v>121</v>
      </c>
      <c r="B408" s="170" t="s">
        <v>23</v>
      </c>
      <c r="C408" s="170" t="s">
        <v>316</v>
      </c>
      <c r="D408" s="170">
        <f>År3</f>
        <v>2050</v>
      </c>
      <c r="E408" s="170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1003726.4153506849</v>
      </c>
      <c r="F408" s="170">
        <v>1</v>
      </c>
    </row>
    <row r="409" spans="1:7" x14ac:dyDescent="0.25">
      <c r="A409" s="170" t="s">
        <v>121</v>
      </c>
      <c r="B409" s="170" t="s">
        <v>23</v>
      </c>
      <c r="C409" s="170" t="s">
        <v>317</v>
      </c>
      <c r="D409" s="170">
        <f>År3</f>
        <v>2050</v>
      </c>
      <c r="E409" s="170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250931.60383767122</v>
      </c>
      <c r="F409" s="170">
        <v>1</v>
      </c>
    </row>
    <row r="410" spans="1:7" x14ac:dyDescent="0.25">
      <c r="A410" s="170" t="s">
        <v>121</v>
      </c>
      <c r="B410" s="170" t="s">
        <v>24</v>
      </c>
      <c r="C410" s="170" t="s">
        <v>316</v>
      </c>
      <c r="D410" s="170">
        <f t="shared" si="31"/>
        <v>2019</v>
      </c>
      <c r="E410" s="170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0">
        <v>1</v>
      </c>
    </row>
    <row r="411" spans="1:7" x14ac:dyDescent="0.25">
      <c r="A411" s="170" t="s">
        <v>121</v>
      </c>
      <c r="B411" s="170" t="s">
        <v>24</v>
      </c>
      <c r="C411" s="170" t="s">
        <v>317</v>
      </c>
      <c r="D411" s="170">
        <f t="shared" si="31"/>
        <v>2019</v>
      </c>
      <c r="E411" s="170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0">
        <v>1</v>
      </c>
    </row>
    <row r="412" spans="1:7" x14ac:dyDescent="0.25">
      <c r="A412" s="170" t="s">
        <v>121</v>
      </c>
      <c r="B412" s="170" t="s">
        <v>24</v>
      </c>
      <c r="C412" s="170" t="s">
        <v>316</v>
      </c>
      <c r="D412" s="170">
        <f>År2</f>
        <v>2030</v>
      </c>
      <c r="E412" s="170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220835.85312494458</v>
      </c>
      <c r="F412" s="170">
        <v>1</v>
      </c>
    </row>
    <row r="413" spans="1:7" x14ac:dyDescent="0.25">
      <c r="A413" s="170" t="s">
        <v>121</v>
      </c>
      <c r="B413" s="170" t="s">
        <v>24</v>
      </c>
      <c r="C413" s="170" t="s">
        <v>317</v>
      </c>
      <c r="D413" s="170">
        <f>År2</f>
        <v>2030</v>
      </c>
      <c r="E413" s="170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55208.963281236145</v>
      </c>
      <c r="F413" s="170">
        <v>1</v>
      </c>
    </row>
    <row r="414" spans="1:7" x14ac:dyDescent="0.25">
      <c r="A414" s="170" t="s">
        <v>121</v>
      </c>
      <c r="B414" s="170" t="s">
        <v>24</v>
      </c>
      <c r="C414" s="170" t="s">
        <v>316</v>
      </c>
      <c r="D414" s="170">
        <f>År3</f>
        <v>2050</v>
      </c>
      <c r="E414" s="170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396273.58464931493</v>
      </c>
      <c r="F414" s="170">
        <v>1</v>
      </c>
    </row>
    <row r="415" spans="1:7" x14ac:dyDescent="0.25">
      <c r="A415" s="170" t="s">
        <v>121</v>
      </c>
      <c r="B415" s="170" t="s">
        <v>24</v>
      </c>
      <c r="C415" s="170" t="s">
        <v>317</v>
      </c>
      <c r="D415" s="170">
        <f>År3</f>
        <v>2050</v>
      </c>
      <c r="E415" s="170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99068.396162328732</v>
      </c>
      <c r="F415" s="170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0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0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0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0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0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0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0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0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0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0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0">
        <f>SUMIFS('Forbrug af biomasse'!E:E,'Forbrug af biomasse'!F:F,"",'Forbrug af biomasse'!B:B,Restprodukter!$B14,'Forbrug af biomasse'!C:C,Restprodukter!$A14,'Forbrug af biomasse'!D:D,Restprodukter!$C14)</f>
        <v>1085650.2622768846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2204729.3731003092</v>
      </c>
      <c r="F14">
        <f>E14-D14</f>
        <v>1119079.1108234245</v>
      </c>
      <c r="G14">
        <f t="shared" si="3"/>
        <v>1119079.1108234245</v>
      </c>
      <c r="H14">
        <f t="shared" si="1"/>
        <v>406492.37528769014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0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195676.41783295566</v>
      </c>
      <c r="F15">
        <f t="shared" si="2"/>
        <v>195676.41783295566</v>
      </c>
      <c r="G15">
        <f t="shared" si="3"/>
        <v>195676.41783295566</v>
      </c>
      <c r="H15">
        <f t="shared" si="1"/>
        <v>63217.001274335715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0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124648.5815119847</v>
      </c>
      <c r="F16">
        <f t="shared" si="2"/>
        <v>124648.5815119847</v>
      </c>
      <c r="G16">
        <f t="shared" si="3"/>
        <v>124648.5815119847</v>
      </c>
      <c r="H16">
        <f t="shared" si="1"/>
        <v>36846.931969416735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0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2226876.9610476061</v>
      </c>
      <c r="F17">
        <f t="shared" si="2"/>
        <v>2226876.9610476061</v>
      </c>
      <c r="G17">
        <f t="shared" si="3"/>
        <v>2226876.9610476061</v>
      </c>
      <c r="H17">
        <f t="shared" si="1"/>
        <v>647935.48316961934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0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0">
        <f ca="1">SUMIFS('Forbrug af biomasse'!E:E,'Forbrug af biomasse'!F:F,"",'Forbrug af biomasse'!B:B,Restprodukter!$B19,'Forbrug af biomasse'!C:C,Restprodukter!$A19,'Forbrug af biomasse'!D:D,Restprodukter!$C19)</f>
        <v>195082.24112879008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205702.08942290704</v>
      </c>
      <c r="F19">
        <f t="shared" ca="1" si="2"/>
        <v>10619.848294116964</v>
      </c>
      <c r="G19">
        <f t="shared" ca="1" si="3"/>
        <v>10619.848294116964</v>
      </c>
      <c r="H19">
        <f t="shared" ca="1" si="1"/>
        <v>9195.2392169247032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0">
        <f>SUMIFS('Forbrug af biomasse'!E:E,'Forbrug af biomasse'!F:F,"",'Forbrug af biomasse'!B:B,Restprodukter!$B20,'Forbrug af biomasse'!C:C,Restprodukter!$A20,'Forbrug af biomasse'!D:D,Restprodukter!$C20)</f>
        <v>394349.73772311531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800842.11301080545</v>
      </c>
      <c r="F20">
        <f t="shared" si="2"/>
        <v>406492.37528769014</v>
      </c>
      <c r="G20">
        <f t="shared" si="3"/>
        <v>406492.37528769014</v>
      </c>
      <c r="H20">
        <f t="shared" si="1"/>
        <v>1119079.1108234245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0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63217.001274335715</v>
      </c>
      <c r="F21">
        <f t="shared" si="2"/>
        <v>63217.001274335715</v>
      </c>
      <c r="G21">
        <f t="shared" si="3"/>
        <v>63217.001274335715</v>
      </c>
      <c r="H21">
        <f t="shared" si="1"/>
        <v>195676.41783295566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0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36846.931969416735</v>
      </c>
      <c r="F22">
        <f t="shared" si="2"/>
        <v>36846.931969416735</v>
      </c>
      <c r="G22">
        <f t="shared" si="3"/>
        <v>36846.931969416735</v>
      </c>
      <c r="H22">
        <f t="shared" si="1"/>
        <v>124648.5815119847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0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647935.48316961934</v>
      </c>
      <c r="F23">
        <f t="shared" si="2"/>
        <v>647935.48316961934</v>
      </c>
      <c r="G23">
        <f t="shared" si="3"/>
        <v>647935.48316961934</v>
      </c>
      <c r="H23">
        <f t="shared" si="1"/>
        <v>2226876.9610476061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0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0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178107.99808813466</v>
      </c>
      <c r="F25">
        <f t="shared" ca="1" si="2"/>
        <v>9195.2392169247032</v>
      </c>
      <c r="G25">
        <f t="shared" ca="1" si="3"/>
        <v>9195.2392169247032</v>
      </c>
      <c r="H25">
        <f t="shared" ca="1" si="1"/>
        <v>10619.848294116964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0">
        <f>SUMIFS('Forbrug af biomasse'!E:E,'Forbrug af biomasse'!F:F,"",'Forbrug af biomasse'!B:B,Restprodukter!$B26,'Forbrug af biomasse'!C:C,Restprodukter!$A26,'Forbrug af biomasse'!D:D,Restprodukter!$C26)</f>
        <v>1792368.5988405086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2275440.463387358</v>
      </c>
      <c r="F26">
        <f t="shared" si="2"/>
        <v>483071.86454684939</v>
      </c>
      <c r="G26">
        <f t="shared" si="3"/>
        <v>483071.86454684939</v>
      </c>
      <c r="H26">
        <f t="shared" si="1"/>
        <v>190717.92520308075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0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168211.99766544558</v>
      </c>
      <c r="F27">
        <f t="shared" si="2"/>
        <v>168211.99766544558</v>
      </c>
      <c r="G27">
        <f t="shared" si="3"/>
        <v>168211.99766544558</v>
      </c>
      <c r="H27">
        <f t="shared" si="1"/>
        <v>60667.559030386925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0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83602.19105177233</v>
      </c>
      <c r="F28">
        <f t="shared" si="2"/>
        <v>83602.19105177233</v>
      </c>
      <c r="G28">
        <f t="shared" si="3"/>
        <v>83602.19105177233</v>
      </c>
      <c r="H28">
        <f t="shared" si="1"/>
        <v>30151.8698273154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0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2341876.9484984945</v>
      </c>
      <c r="F29">
        <f t="shared" si="2"/>
        <v>2341876.9484984945</v>
      </c>
      <c r="G29">
        <f t="shared" si="3"/>
        <v>2341876.9484984945</v>
      </c>
      <c r="H29">
        <f t="shared" si="1"/>
        <v>628453.92541579902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0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0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209913.46379772766</v>
      </c>
      <c r="F31">
        <f t="shared" ca="1" si="2"/>
        <v>12429.230254746712</v>
      </c>
      <c r="G31">
        <f t="shared" ca="1" si="3"/>
        <v>12429.230254746712</v>
      </c>
      <c r="H31">
        <f t="shared" ca="1" si="1"/>
        <v>10843.733836886386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0">
        <f>SUMIFS('Forbrug af biomasse'!E:E,'Forbrug af biomasse'!F:F,"",'Forbrug af biomasse'!B:B,Restprodukter!$B32,'Forbrug af biomasse'!C:C,Restprodukter!$A32,'Forbrug af biomasse'!D:D,Restprodukter!$C32)</f>
        <v>707631.40115949092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898349.32636257168</v>
      </c>
      <c r="F32">
        <f t="shared" si="2"/>
        <v>190717.92520308075</v>
      </c>
      <c r="G32">
        <f t="shared" si="3"/>
        <v>190717.92520308075</v>
      </c>
      <c r="H32">
        <f t="shared" si="1"/>
        <v>483071.86454684939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0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60667.559030386925</v>
      </c>
      <c r="F33">
        <f t="shared" si="2"/>
        <v>60667.559030386925</v>
      </c>
      <c r="G33">
        <f t="shared" si="3"/>
        <v>60667.559030386925</v>
      </c>
      <c r="H33">
        <f t="shared" si="1"/>
        <v>168211.99766544558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0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30151.8698273154</v>
      </c>
      <c r="F34">
        <f t="shared" si="2"/>
        <v>30151.8698273154</v>
      </c>
      <c r="G34">
        <f t="shared" si="3"/>
        <v>30151.8698273154</v>
      </c>
      <c r="H34">
        <f t="shared" si="1"/>
        <v>83602.19105177233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0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628453.92541579902</v>
      </c>
      <c r="F35">
        <f t="shared" si="2"/>
        <v>628453.92541579902</v>
      </c>
      <c r="G35">
        <f t="shared" si="3"/>
        <v>628453.92541579902</v>
      </c>
      <c r="H35">
        <f t="shared" si="1"/>
        <v>2341876.9484984945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0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0">
        <f ca="1">SUMIFS('Forbrug af biomasse'!E:E,'Forbrug af biomasse'!F:F,"",'Forbrug af biomasse'!B:B,Restprodukter!$B37,'Forbrug af biomasse'!C:C,Restprodukter!$A37,'Forbrug af biomasse'!D:D,Restprodukter!$C37)</f>
        <v>172292.76645701905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183136.50029390544</v>
      </c>
      <c r="F37">
        <f t="shared" ca="1" si="2"/>
        <v>10843.733836886386</v>
      </c>
      <c r="G37">
        <f t="shared" ca="1" si="3"/>
        <v>10843.733836886386</v>
      </c>
      <c r="H37">
        <f t="shared" ca="1" si="1"/>
        <v>12429.230254746712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2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3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4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0">
        <f>SUMIF($F$3:$F$472,"Roer",I3:I472)</f>
        <v>618312.90012796305</v>
      </c>
      <c r="O3" s="170">
        <f>SUMIF($F$3:$F$472,"Roer",J3:J472)</f>
        <v>477307.40969257313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9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0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205702.08942290704</v>
      </c>
      <c r="J4" s="301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209913.46379772766</v>
      </c>
      <c r="N4" s="170"/>
      <c r="O4" s="170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9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0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1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0" customFormat="1" x14ac:dyDescent="0.25">
      <c r="A6" s="170" t="str">
        <f>IF('[1]Processer - data'!A6&lt;&gt;"",'[1]Processer - data'!A6,"")</f>
        <v>Bioaffaldsproduktion</v>
      </c>
      <c r="B6" s="170" t="str">
        <f>IF('[1]Processer - data'!B6&lt;&gt;"",'[1]Processer - data'!B6,"")</f>
        <v/>
      </c>
      <c r="C6" s="170" t="str">
        <f>IF('[1]Processer - data'!C6&lt;&gt;"",'[1]Processer - data'!C6,"")</f>
        <v/>
      </c>
      <c r="D6" s="170" t="str">
        <f>IF('[1]Processer - data'!D6&lt;&gt;"",'[1]Processer - data'!D6,"")</f>
        <v>Befolkning</v>
      </c>
      <c r="E6" s="170" t="str">
        <f>IF('[1]Processer - data'!E6&lt;&gt;"",'[1]Processer - data'!E6,"")</f>
        <v>Antal</v>
      </c>
      <c r="F6" s="170" t="str">
        <f>IF('[1]Processer - data'!F6&lt;&gt;"",'[1]Processer - data'!F6,"")</f>
        <v>Industriaffald</v>
      </c>
      <c r="G6" s="170" t="str">
        <f>IF('[1]Processer - data'!G6&lt;&gt;"",'[1]Processer - data'!G6,"")</f>
        <v>Ton</v>
      </c>
      <c r="H6" s="299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0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1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9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0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21640.199818552966</v>
      </c>
      <c r="J7" s="301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162301.49863914726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9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0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-3505.7123706055804</v>
      </c>
      <c r="J8" s="301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-26292.842779541854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9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0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1350</v>
      </c>
      <c r="J9" s="301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10125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9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0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-55.980000000000004</v>
      </c>
      <c r="J10" s="301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-419.85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9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0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1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9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0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1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9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0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1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299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0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1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299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0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1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299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0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-141474.29645242251</v>
      </c>
      <c r="J16" s="301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-82786.053579755899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299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0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1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299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0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1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299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0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-31124.345219532952</v>
      </c>
      <c r="J19" s="301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-182129.31787546299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299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0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1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299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0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1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299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0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1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-792256.06013356603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99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0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1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10803.94867106174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99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0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1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5643.853783390462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99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0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1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-82055.091942405052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299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0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1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299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0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1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299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0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-707371.48226211255</v>
      </c>
      <c r="J28" s="301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-413930.26789877948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299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0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12933.422356475206</v>
      </c>
      <c r="J29" s="301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75682.086641996168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299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0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3233.3555891188016</v>
      </c>
      <c r="J30" s="301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18920.521660499042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299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0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-90543.549729550403</v>
      </c>
      <c r="J31" s="301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-529830.74291043775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299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0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1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136776.07373018423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299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0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1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47345.563983525324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299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0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1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-28294.859290484503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99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0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1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6287.080312175447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99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0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1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3143.5401560877244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99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0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1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-70737.148226211255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299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0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1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299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0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1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299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0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-141474.29645242251</v>
      </c>
      <c r="J40" s="301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-82786.053579755899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299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0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1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299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0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1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299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0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-24050.630396911827</v>
      </c>
      <c r="J43" s="301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-140736.29108558502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299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0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1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299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0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1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299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0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1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-778108.63048832386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99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0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1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7921.1617892599015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99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0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1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4320.6337032326746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99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0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1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-74981.377119783923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299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0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1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299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0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1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299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0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-537602.32651920558</v>
      </c>
      <c r="J52" s="301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-314587.00360307243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299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0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3284.3841565224002</v>
      </c>
      <c r="J53" s="301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19219.123867479673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299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0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11495.344547828394</v>
      </c>
      <c r="J54" s="301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67266.933536178811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299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0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-45271.774864775201</v>
      </c>
      <c r="J55" s="301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-264915.37145521888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299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0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1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35352.746129234147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299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0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1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46756.857783825813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299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0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1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-254653.73361436054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99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0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1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2922.1359039647805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99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0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1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1593.8923112535169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99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0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1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-73566.6341552597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299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0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1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299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0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1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299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0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1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299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0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1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299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0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1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299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0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1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299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0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1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299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0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1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299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0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1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99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0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1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99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0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1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99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0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1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299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0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7817688.9965138994</v>
      </c>
      <c r="J74" s="301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3722709.0459590005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299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0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8433355.9839573242</v>
      </c>
      <c r="J75" s="301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4015883.8018844402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299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0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1081095.3882135926</v>
      </c>
      <c r="J76" s="301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514807.32772075845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299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0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88365.258558393456</v>
      </c>
      <c r="J77" s="301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42078.694551615932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299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0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-4824664799.4352493</v>
      </c>
      <c r="J78" s="301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-2297459428.3025002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299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0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-370533.71517749992</v>
      </c>
      <c r="J79" s="301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-176444.62627499999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299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0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631793.77416213648</v>
      </c>
      <c r="J80" s="301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300854.17817244597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299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0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1142382.9390922016</v>
      </c>
      <c r="J81" s="301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1269314.3767691129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299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0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1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299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0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1238252.7504511899</v>
      </c>
      <c r="J83" s="301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1375836.3893902111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299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0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37870.82509645434</v>
      </c>
      <c r="J84" s="301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42078.694551615932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299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0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-2067713485.47225</v>
      </c>
      <c r="J85" s="301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-2297459428.3025002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299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0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-139584.61873125</v>
      </c>
      <c r="J86" s="301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-155094.02081250001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299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0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297845.63639072148</v>
      </c>
      <c r="J87" s="301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330939.59598969057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299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0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254203.99133759088</v>
      </c>
      <c r="J88" s="301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121049.51968456709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299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0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7376589.0405056011</v>
      </c>
      <c r="J89" s="301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3512661.4478598102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299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0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144560.49039842663</v>
      </c>
      <c r="J90" s="301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68838.328761155542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299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0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2761280.759286677</v>
      </c>
      <c r="J91" s="301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1314895.5996603225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299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0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31456.532126933045</v>
      </c>
      <c r="J92" s="301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14979.301012825259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299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0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-1913872144.8</v>
      </c>
      <c r="J93" s="301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-911367688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299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0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-8004.9274199999991</v>
      </c>
      <c r="J94" s="301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-3811.8701999999998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299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0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2070109.2730392055</v>
      </c>
      <c r="J95" s="301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985766.32049485983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299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0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32678.352202827748</v>
      </c>
      <c r="J96" s="301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36309.280225364171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299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0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1765887.8786528071</v>
      </c>
      <c r="J97" s="301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1962097.6429475637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299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0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14579.572521261611</v>
      </c>
      <c r="J98" s="301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16199.525023624014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299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0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674514.70572503423</v>
      </c>
      <c r="J99" s="301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749460.784138927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299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0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13481.370911542732</v>
      </c>
      <c r="J100" s="301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14979.301012825259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299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0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-820230919.19999993</v>
      </c>
      <c r="J101" s="301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-911367688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299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0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-4135.6180799999993</v>
      </c>
      <c r="J102" s="301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-4595.1311999999998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299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0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741911.14760026301</v>
      </c>
      <c r="J103" s="301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824345.71955584793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299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0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79469220.879961431</v>
      </c>
      <c r="J104" s="301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56763729.199972458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299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0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5058.12877709445</v>
      </c>
      <c r="J105" s="301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3612.9491264960361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299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0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112106.58824698406</v>
      </c>
      <c r="J106" s="301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80076.134462131478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299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0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165612.63078037187</v>
      </c>
      <c r="J107" s="301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118294.7362716942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299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0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6994.4862322764766</v>
      </c>
      <c r="J108" s="301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4996.061594483198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299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0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-275204784.62400001</v>
      </c>
      <c r="J109" s="301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-196574846.16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299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0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-6522.7108043999988</v>
      </c>
      <c r="J110" s="301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-4659.079146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299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0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10626.66607451792</v>
      </c>
      <c r="J111" s="301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7590.4757675128003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299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0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2385036.0774144591</v>
      </c>
      <c r="J112" s="301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3975060.1290240986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299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0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4213.8113779246569</v>
      </c>
      <c r="J113" s="301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7023.0189632077618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299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0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15866.690381936896</v>
      </c>
      <c r="J114" s="301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26444.483969894827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299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0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29211.510313256054</v>
      </c>
      <c r="J115" s="301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48685.850522093424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299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0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2997.6369566899189</v>
      </c>
      <c r="J116" s="301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4996.061594483198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299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0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-117944907.69600001</v>
      </c>
      <c r="J117" s="301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-196574846.16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299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0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-5265.3976650000004</v>
      </c>
      <c r="J118" s="301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-8775.6627750000007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299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0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5009.714006558449</v>
      </c>
      <c r="J119" s="301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8349.5233442640802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299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0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3412441.0359119819</v>
      </c>
      <c r="J120" s="301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2098278.4301233124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299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0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1405005.7483448237</v>
      </c>
      <c r="J121" s="301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1065776.6839572235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299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0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-72656142.310813591</v>
      </c>
      <c r="J122" s="301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-44675589.88488327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299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0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1032486.6345957433</v>
      </c>
      <c r="J123" s="301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634866.4817834344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299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0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131273.0118331874</v>
      </c>
      <c r="J124" s="301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2.3819142667118416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299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0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54049.091042792053</v>
      </c>
      <c r="J125" s="301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1.2098435804333936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299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0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-1892451.4750510068</v>
      </c>
      <c r="J126" s="301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-34.338034181861225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299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0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232796.19687932875</v>
      </c>
      <c r="J127" s="301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4.2240257524353328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299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0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2.5264390496136051</v>
      </c>
      <c r="J128" s="301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1.804599321152575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299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0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1.0402117868686613</v>
      </c>
      <c r="J129" s="301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0.91660851713393399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299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0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-24.014192427030885</v>
      </c>
      <c r="J130" s="301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-17.152994590736345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299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0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9.8342186875375237</v>
      </c>
      <c r="J131" s="301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7.0244419196696599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299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0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979858.06888329785</v>
      </c>
      <c r="J132" s="301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1405846.5481826195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299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0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403437.36488187086</v>
      </c>
      <c r="J133" s="301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714070.37825133989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299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0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-20862692.292105049</v>
      </c>
      <c r="J134" s="301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-29932645.222871792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299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0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442494.27196960431</v>
      </c>
      <c r="J135" s="301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634866.4817834344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299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0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37694.107683529532</v>
      </c>
      <c r="J136" s="301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1.5958825586969339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299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0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15519.810428001723</v>
      </c>
      <c r="J137" s="301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0.81059519889037368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299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0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-543403.9235503606</v>
      </c>
      <c r="J138" s="301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-23.006482901847022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299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0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99769.798662569476</v>
      </c>
      <c r="J139" s="301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4.2240257524353328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299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0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0.72544892710333519</v>
      </c>
      <c r="J140" s="301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1.2090815451722254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299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0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0.29868938451514421</v>
      </c>
      <c r="J141" s="301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0.6141277064797358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299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0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-6.8955038254760117</v>
      </c>
      <c r="J142" s="301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-11.492506375793351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299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0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4.2146651518017961</v>
      </c>
      <c r="J143" s="301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7.0244419196696599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299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0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1003561.1250370617</v>
      </c>
      <c r="J144" s="301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617080.45349794161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299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0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-9082017.7888516989</v>
      </c>
      <c r="J145" s="301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-5584448.7356104087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299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0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103248.66345957432</v>
      </c>
      <c r="J146" s="301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63486.648178343443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299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0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1529.5162896849088</v>
      </c>
      <c r="J147" s="301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2.7752670718015831E-2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299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0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-11246.463933603774</v>
      </c>
      <c r="J148" s="301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-0.20406412955277869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299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0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922.30776380071711</v>
      </c>
      <c r="J149" s="301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1.6735031749615353E-2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299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0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1.4850789338979608E-2</v>
      </c>
      <c r="J150" s="301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1.0607706670699723E-2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9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0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-9.1197645429644328E-2</v>
      </c>
      <c r="J151" s="301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-6.5141175306888829E-2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9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0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1.9656305803521585E-2</v>
      </c>
      <c r="J152" s="301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1.4040218431086849E-2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299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0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245155.6462590537</v>
      </c>
      <c r="J153" s="301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351735.85849382664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299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0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-2218607.2027052008</v>
      </c>
      <c r="J154" s="301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-3183135.7792979325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299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0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44249.427196960431</v>
      </c>
      <c r="J155" s="301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63486.648178343443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299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0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373.6389793373134</v>
      </c>
      <c r="J156" s="301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1.5819022309269022E-2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299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0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-2747.350475208922</v>
      </c>
      <c r="J157" s="301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-0.11631655384508384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299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0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395.27475591459307</v>
      </c>
      <c r="J158" s="301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1.6735031749615353E-2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299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0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3.6278356813793048E-3</v>
      </c>
      <c r="J159" s="301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6.0463928022988422E-3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299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0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-2.2278281954955972E-2</v>
      </c>
      <c r="J160" s="301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-3.7130469924926628E-2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299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0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8.4241310586521088E-3</v>
      </c>
      <c r="J161" s="301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1.4040218431086849E-2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299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0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111592.88509565267</v>
      </c>
      <c r="J162" s="301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68530.396897199942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9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0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-95482303.556355625</v>
      </c>
      <c r="J163" s="301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-58636714.641504414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9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0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20675.959599106929</v>
      </c>
      <c r="J164" s="301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12697.330267451507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9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0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27260.547644795151</v>
      </c>
      <c r="J165" s="301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39062.32623140396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9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0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-23324962.725909732</v>
      </c>
      <c r="J166" s="301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-33422927.345657516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9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0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8861.1255424743977</v>
      </c>
      <c r="J167" s="301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12697.330267451507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299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0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1550600.2873030298</v>
      </c>
      <c r="J168" s="301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953449.77461901517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9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0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-5108635.0062290812</v>
      </c>
      <c r="J169" s="301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-3141252.4137808545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9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0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77436.497594680754</v>
      </c>
      <c r="J170" s="301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47614.986133757579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299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0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49746.176800788373</v>
      </c>
      <c r="J171" s="301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0.9026312916986905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9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0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-109263.08660868685</v>
      </c>
      <c r="J172" s="301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-1.9825499634983388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9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0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14560.849055785113</v>
      </c>
      <c r="J173" s="301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0.26420277570445744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299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0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1.6193793788559878</v>
      </c>
      <c r="J174" s="301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1.1566995563257059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9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0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-2.2865296337896277</v>
      </c>
      <c r="J175" s="301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-1.6332354527068773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9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0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1.0404140302794587</v>
      </c>
      <c r="J176" s="301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0.74315287877104197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299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0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378789.49875545438</v>
      </c>
      <c r="J177" s="301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543466.37153283856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9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0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-1247966.5515216754</v>
      </c>
      <c r="J178" s="301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-1790513.8758550868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9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0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33187.070397720323</v>
      </c>
      <c r="J179" s="301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47614.986133757579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299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0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12152.280332764016</v>
      </c>
      <c r="J180" s="301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0.51449983626825357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9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0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-26691.411157264927</v>
      </c>
      <c r="J181" s="301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-1.1300534791940531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9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0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6240.3638810507618</v>
      </c>
      <c r="J182" s="301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0.26420277570445744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299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0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0.39559124826339132</v>
      </c>
      <c r="J183" s="301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0.6593187471056523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9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0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-0.55856652482575186</v>
      </c>
      <c r="J184" s="301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-0.93094420804292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9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0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0.4458917272626251</v>
      </c>
      <c r="J185" s="301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0.74315287877104197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299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0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7850318.1691347482</v>
      </c>
      <c r="J186" s="301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3341830.175907521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9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0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-22875332.30567022</v>
      </c>
      <c r="J187" s="301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-9737882.4827206507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9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0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335558.1562436166</v>
      </c>
      <c r="J188" s="301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142844.95840127274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299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0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787124.28568415227</v>
      </c>
      <c r="J189" s="301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14.282163100888507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9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0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-1603075.1174557826</v>
      </c>
      <c r="J190" s="301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-29.087376297352193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9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0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197199.13328056716</v>
      </c>
      <c r="J191" s="301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3.5781263976869009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299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0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30.752943794518234</v>
      </c>
      <c r="J192" s="301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21.966388424655886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9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0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-43.360712771332047</v>
      </c>
      <c r="J193" s="301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-30.971937693808606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9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0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16.911377685408695</v>
      </c>
      <c r="J194" s="301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12.07955548957764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299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0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2624249.2165393303</v>
      </c>
      <c r="J195" s="301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2606627.5372078666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9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0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-7646896.799324045</v>
      </c>
      <c r="J196" s="301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-7595548.336522107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9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0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143810.6383901214</v>
      </c>
      <c r="J197" s="301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142844.95840127274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299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0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263124.40407155949</v>
      </c>
      <c r="J198" s="301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11.140087218693035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9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0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-535885.11069236172</v>
      </c>
      <c r="J199" s="301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-22.688153511934711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9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0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84513.914263100218</v>
      </c>
      <c r="J200" s="301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3.5781263976869009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299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0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10.280269782738953</v>
      </c>
      <c r="J201" s="301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17.133782971231589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9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0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-14.49486684070243</v>
      </c>
      <c r="J202" s="301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-24.158111401170714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9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0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7.2477332937465846</v>
      </c>
      <c r="J203" s="301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12.07955548957764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299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0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540222.03132715018</v>
      </c>
      <c r="J204" s="301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326400.52983280551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299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0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202310.07749072317</v>
      </c>
      <c r="J205" s="301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150794.75409772925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299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0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1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299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0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296839.90744627622</v>
      </c>
      <c r="J207" s="301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179349.78110382022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299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0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6196.5248008333783</v>
      </c>
      <c r="J208" s="301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0.11243431243806787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299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0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2320.5632868212588</v>
      </c>
      <c r="J209" s="301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5.1943863280278481E-2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299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0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1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299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0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19956.268438303759</v>
      </c>
      <c r="J211" s="301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0.3621012410679661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299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0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8.0102100893309103E-2</v>
      </c>
      <c r="J212" s="301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5.7215786352363643E-2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299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0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2.9997781095827455E-2</v>
      </c>
      <c r="J213" s="301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2.6433291753332609E-2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9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0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1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9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0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0.56624666395129464</v>
      </c>
      <c r="J215" s="301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0.40446190282235334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299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0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131968.52479563243</v>
      </c>
      <c r="J216" s="301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186048.30200469913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299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0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49421.461787019522</v>
      </c>
      <c r="J217" s="301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85953.00983570567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299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0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1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299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0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127217.10319126125</v>
      </c>
      <c r="J219" s="301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179349.78110382022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299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0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1513.7224870607249</v>
      </c>
      <c r="J220" s="301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6.4087558089698682E-2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299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0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566.8804600663359</v>
      </c>
      <c r="J221" s="301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2.9608002069758728E-2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299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0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1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299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0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8552.6864735587533</v>
      </c>
      <c r="J223" s="301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0.3621012410679661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299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0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1.9567798932508366E-2</v>
      </c>
      <c r="J224" s="301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3.2612998220847282E-2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299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0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7.3280293819807055E-3</v>
      </c>
      <c r="J225" s="301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1.5066976299399584E-2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299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0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1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299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0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0.24267714169341201</v>
      </c>
      <c r="J227" s="301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0.40446190282235334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299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0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494425.04842508648</v>
      </c>
      <c r="J228" s="301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304017.38916663063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299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0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-766295.25093436206</v>
      </c>
      <c r="J229" s="301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-471187.86206712824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299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0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12906.08293244679</v>
      </c>
      <c r="J230" s="301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7935.8310222929304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299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0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2496.8814349386507</v>
      </c>
      <c r="J231" s="301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4.5305256801190741E-2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299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0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-2508.2329807716287</v>
      </c>
      <c r="J232" s="301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-4.5511227614164554E-2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299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0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382.00852600901828</v>
      </c>
      <c r="J233" s="301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6.9314442123312768E-3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299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0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3.3503435510473079E-2</v>
      </c>
      <c r="J234" s="301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2.3931025364623632E-2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9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0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-2.0605562343253725E-2</v>
      </c>
      <c r="J235" s="301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-1.4718258816609802E-2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9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0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1.1251102551347918E-2</v>
      </c>
      <c r="J236" s="301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8.03650182239137E-3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299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0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120780.97611527114</v>
      </c>
      <c r="J237" s="301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173289.91182497947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299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0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-187194.98272825131</v>
      </c>
      <c r="J238" s="301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-268577.08137826307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299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0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5531.1783996200538</v>
      </c>
      <c r="J239" s="301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7935.8310222929304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299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0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609.95246482072741</v>
      </c>
      <c r="J240" s="301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2.5823996376678714E-2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299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0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-612.72548530278345</v>
      </c>
      <c r="J241" s="301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-2.5941399740073794E-2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299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0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163.71793971815069</v>
      </c>
      <c r="J242" s="301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6.9314442123312768E-3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299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0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8.1844106747012806E-3</v>
      </c>
      <c r="J243" s="301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1.3640684457835468E-2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299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0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-5.0336445152805512E-3</v>
      </c>
      <c r="J244" s="301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-8.3894075254675859E-3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299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0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4.8219010934348215E-3</v>
      </c>
      <c r="J245" s="301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8.03650182239137E-3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299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0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103322.48357665025</v>
      </c>
      <c r="J246" s="301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63532.039485545378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9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0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-1589353.1130490473</v>
      </c>
      <c r="J247" s="301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-977278.52873182157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9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0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22315.589016185677</v>
      </c>
      <c r="J248" s="301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13721.649281375852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299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0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573.72270425825457</v>
      </c>
      <c r="J249" s="301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1.041004754386044E-2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9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0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-7354.3848224421572</v>
      </c>
      <c r="J250" s="301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-0.13344337794065428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9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0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560.07288026965796</v>
      </c>
      <c r="J251" s="301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1.0162375078343625E-2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299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0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1.2475668704626951E-2</v>
      </c>
      <c r="J252" s="301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8.9111919318763944E-3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9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0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-0.13707597947351308</v>
      </c>
      <c r="J253" s="301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-9.791141390965219E-2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9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0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2.7906411943412722E-2</v>
      </c>
      <c r="J254" s="301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1.9933151388151944E-2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299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0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25240.206702295993</v>
      </c>
      <c r="J255" s="301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36213.262506760868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9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0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-388256.26047341019</v>
      </c>
      <c r="J256" s="301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-557048.7613771382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9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0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9563.8238640795771</v>
      </c>
      <c r="J257" s="301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13721.649281375852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299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0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140.15226061165933</v>
      </c>
      <c r="J258" s="301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5.9337271000004504E-3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9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0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-1796.5711494822986</v>
      </c>
      <c r="J259" s="301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-7.6062725426172928E-2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9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0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240.03123440128201</v>
      </c>
      <c r="J260" s="301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1.0162375078343625E-2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299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0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3.0476276407017263E-3</v>
      </c>
      <c r="J261" s="301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5.0793794011695431E-3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9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0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-3.3485703557101051E-2</v>
      </c>
      <c r="J262" s="301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-5.580950592850175E-2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9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0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1.1959890832891167E-2</v>
      </c>
      <c r="J263" s="301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1.9933151388151944E-2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299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0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1014182.4872365227</v>
      </c>
      <c r="J264" s="301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623611.43087370158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9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0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-4511358.2560169213</v>
      </c>
      <c r="J265" s="301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-2773992.4644966652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9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0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72193.195470367427</v>
      </c>
      <c r="J266" s="301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44390.928154649933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299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0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35610.550551751534</v>
      </c>
      <c r="J267" s="301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0.64614407196252321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9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0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-116132.96855380498</v>
      </c>
      <c r="J268" s="301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-2.1072021641844674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9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0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14857.303512809993</v>
      </c>
      <c r="J269" s="301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0.26958186384113536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299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0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0.77435567352593704</v>
      </c>
      <c r="J270" s="301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0.55311119537566933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9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0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-1.8687406976408698</v>
      </c>
      <c r="J271" s="301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-1.3348147840291926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9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0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0.70914067553856774</v>
      </c>
      <c r="J272" s="301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0.5065290539561198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299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0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247750.29331063628</v>
      </c>
      <c r="J273" s="301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355458.51559800986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9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0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-1102060.373969848</v>
      </c>
      <c r="J274" s="301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-1581175.7047630989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9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0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30939.940915871757</v>
      </c>
      <c r="J275" s="301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44390.928154649933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299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0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8699.1487776421582</v>
      </c>
      <c r="J276" s="301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0.36830212101863818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9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0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-28369.625175286645</v>
      </c>
      <c r="J277" s="301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-1.2011052335851464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9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0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6367.415791204282</v>
      </c>
      <c r="J278" s="301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0.26958186384113536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299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0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0.18916402881847891</v>
      </c>
      <c r="J279" s="301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0.31527338136413147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9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0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-0.45650665613798386</v>
      </c>
      <c r="J280" s="301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-0.76084442689663978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9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0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0.30391743237367191</v>
      </c>
      <c r="J281" s="301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0.5065290539561198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299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0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2708412.0989379873</v>
      </c>
      <c r="J282" s="301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1332302.0388700236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9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0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-9082017.7888516989</v>
      </c>
      <c r="J283" s="301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-4467558.9884883268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9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0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129060.82932446791</v>
      </c>
      <c r="J284" s="301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63486.648178343443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299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0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176558.19783274728</v>
      </c>
      <c r="J285" s="301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3.2036020538414522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9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0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-400864.51515481214</v>
      </c>
      <c r="J286" s="301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-7.2735811750788271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9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0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49311.560070199987</v>
      </c>
      <c r="J287" s="301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0.8947452854535104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299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0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2.2823571325717098</v>
      </c>
      <c r="J288" s="301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1.6302550946940786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9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0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-3.4166711964234064</v>
      </c>
      <c r="J289" s="301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-2.4404794260167191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9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0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1.3991847459012219</v>
      </c>
      <c r="J290" s="301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0.99941767564372996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299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0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963420.87519365561</v>
      </c>
      <c r="J291" s="301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1105810.6922621196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9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0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-3230603.4706058186</v>
      </c>
      <c r="J292" s="301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-3708073.9604453109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9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0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55311.783996200538</v>
      </c>
      <c r="J293" s="301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63486.648178343443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299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0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62804.27322907724</v>
      </c>
      <c r="J294" s="301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2.6589897046884046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9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0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-142593.23467649744</v>
      </c>
      <c r="J295" s="301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-6.0370723753154261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9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0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21133.525744371425</v>
      </c>
      <c r="J296" s="301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0.8947452854535104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299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0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0.81186703715765096</v>
      </c>
      <c r="J297" s="301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1.3531117285960852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9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0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-1.215358754156326</v>
      </c>
      <c r="J298" s="301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-2.0255979235938768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9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0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0.59965060538623793</v>
      </c>
      <c r="J299" s="301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0.99941767564372996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299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0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487282.94963593356</v>
      </c>
      <c r="J300" s="301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339136.87037513743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299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0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328302.34176730691</v>
      </c>
      <c r="J301" s="301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281875.88759724569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299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0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-18078891.660932913</v>
      </c>
      <c r="J302" s="301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-12582461.0574222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299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0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234890.70937053158</v>
      </c>
      <c r="J303" s="301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163478.11905923433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299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0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7563.3645052484226</v>
      </c>
      <c r="J304" s="301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0.13723525931046462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299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0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5095.7462816377538</v>
      </c>
      <c r="J305" s="301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0.11406400750524623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299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0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-193755.62762554787</v>
      </c>
      <c r="J306" s="301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-3.5156448934336426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299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0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21368.832958400581</v>
      </c>
      <c r="J307" s="301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0.38773185269242622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299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0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0.11823984745671866</v>
      </c>
      <c r="J308" s="301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8.44570338976562E-2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299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0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7.9662994240312535E-2</v>
      </c>
      <c r="J309" s="301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7.0197030972772079E-2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9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0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-2.0591415574606642</v>
      </c>
      <c r="J310" s="301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-1.4708153981861889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9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0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0.73326378887406174</v>
      </c>
      <c r="J311" s="301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0.52375984919575846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299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0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114859.55241418435</v>
      </c>
      <c r="J312" s="301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186525.27870632557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299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0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77385.551988008054</v>
      </c>
      <c r="J313" s="301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155031.73817848516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299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0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-4261453.0343627585</v>
      </c>
      <c r="J314" s="301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-6920353.581582211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299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0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100667.44687308498</v>
      </c>
      <c r="J315" s="301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163478.11905923433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299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0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1782.7930619514134</v>
      </c>
      <c r="J316" s="301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7.5479392620755537E-2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299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0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1201.1401949574702</v>
      </c>
      <c r="J317" s="301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6.2735204127885427E-2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299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0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-45670.96936887913</v>
      </c>
      <c r="J318" s="301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-1.9336046913885034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299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0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9158.0712678859618</v>
      </c>
      <c r="J319" s="301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0.38773185269242622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299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0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2.7870821186226545E-2</v>
      </c>
      <c r="J320" s="301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4.6451368643710911E-2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299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0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1.8777705785216529E-2</v>
      </c>
      <c r="J321" s="301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3.8608367035024647E-2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299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0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-0.48536908140144236</v>
      </c>
      <c r="J322" s="301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-0.80894846900240402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299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0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0.31425590951745508</v>
      </c>
      <c r="J323" s="301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0.52375984919575846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299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0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702450.40491838404</v>
      </c>
      <c r="J324" s="301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431930.25677518244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299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0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147206.94845857151</v>
      </c>
      <c r="J325" s="301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111664.83380474651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299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0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-6878829.3672229676</v>
      </c>
      <c r="J326" s="301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-4229728.5532100946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299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0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104269.03724765623</v>
      </c>
      <c r="J327" s="301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64114.066582841457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299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0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42151.806875806476</v>
      </c>
      <c r="J328" s="301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0.7648334472035242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299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0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8833.4191549415536</v>
      </c>
      <c r="J329" s="301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0.1977286805697101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299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0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-309582.4470189797</v>
      </c>
      <c r="J330" s="301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-5.6172920616394908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299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0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36672.20647604284</v>
      </c>
      <c r="J331" s="301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0.66540753942697062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299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0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1.1815047929903175</v>
      </c>
      <c r="J332" s="301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0.84393199499308402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299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0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0.24759856916231526</v>
      </c>
      <c r="J333" s="301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0.21817764438868903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299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0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-6.6114437693542136</v>
      </c>
      <c r="J334" s="301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-4.7224598352530096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299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0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2.2562485380867479</v>
      </c>
      <c r="J335" s="301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1.6116060986333911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299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0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171598.59891577667</v>
      </c>
      <c r="J336" s="301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246200.24636185393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299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0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35960.554552022462</v>
      </c>
      <c r="J337" s="301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63648.955268705504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299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0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-1680399.7454216103</v>
      </c>
      <c r="J338" s="301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-2410945.2753297538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299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0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44686.730248995533</v>
      </c>
      <c r="J339" s="301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64114.066582841457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299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0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10297.084251089869</v>
      </c>
      <c r="J340" s="301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0.43595506490600883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299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0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2157.8781078500083</v>
      </c>
      <c r="J341" s="301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0.11270534792473474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299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0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-75626.569200350757</v>
      </c>
      <c r="J342" s="301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-3.2018564751345093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299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0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15716.659918304076</v>
      </c>
      <c r="J343" s="301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0.66540753942697062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299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0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0.28862474228763468</v>
      </c>
      <c r="J344" s="301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0.48104123714605784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299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0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6.0484793323937004E-2</v>
      </c>
      <c r="J345" s="301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0.12436125730155274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299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0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-1.6150812636565288</v>
      </c>
      <c r="J346" s="301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-2.6918021060942152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299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0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0.96696365918003457</v>
      </c>
      <c r="J347" s="301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1.6116060986333911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299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0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461661.34528138139</v>
      </c>
      <c r="J348" s="301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283871.29114649975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299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0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-947439.32800283493</v>
      </c>
      <c r="J349" s="301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-582571.67959169718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299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0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16930.692278085295</v>
      </c>
      <c r="J350" s="301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10410.526083908579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299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0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16946.592996392901</v>
      </c>
      <c r="J351" s="301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0.3074914719071174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299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0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-26347.31498195414</v>
      </c>
      <c r="J352" s="301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-0.47806509935808045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299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0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2809.0701974146577</v>
      </c>
      <c r="J353" s="301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5.0969839771174238E-2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299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0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0.3685056880718825</v>
      </c>
      <c r="J354" s="301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0.26321834862277316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9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0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-0.44197110776211912</v>
      </c>
      <c r="J355" s="301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-0.31569364840151365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9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0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0.13996583814105448</v>
      </c>
      <c r="J356" s="301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9.9975598672181767E-2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299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0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112777.27149016604</v>
      </c>
      <c r="J357" s="301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161806.63595350485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299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0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-231445.89298354968</v>
      </c>
      <c r="J358" s="301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-332065.85736726737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299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0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7256.0109763222699</v>
      </c>
      <c r="J359" s="301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10410.526083908579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299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0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4139.8105748331236</v>
      </c>
      <c r="J360" s="301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0.17527013898705687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299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0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-6436.2726598773679</v>
      </c>
      <c r="J361" s="301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-0.27249710663410581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299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0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1203.8872274634248</v>
      </c>
      <c r="J362" s="301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5.0969839771174238E-2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299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0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9.0020675228988406E-2</v>
      </c>
      <c r="J363" s="301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0.15003445871498072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299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0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-0.10796722775331766</v>
      </c>
      <c r="J364" s="301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-0.17994537958886275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299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0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5.9985359203309052E-2</v>
      </c>
      <c r="J365" s="301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9.9975598672181767E-2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299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0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86599.536134665104</v>
      </c>
      <c r="J366" s="301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53249.253779850231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9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0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-397453.09494641074</v>
      </c>
      <c r="J367" s="301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-244390.23190005889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9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0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6510.5942506318625</v>
      </c>
      <c r="J368" s="301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4003.3041859534273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299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0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13576.855910367525</v>
      </c>
      <c r="J369" s="301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0.24634847893251222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9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0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-51926.407866144451</v>
      </c>
      <c r="J370" s="301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-0.94219101084263068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9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0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4613.529085585209</v>
      </c>
      <c r="J371" s="301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8.3711271611635912E-2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299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0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0.424325104319622</v>
      </c>
      <c r="J372" s="301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0.30308936022830146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9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0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-1.3910444517940701</v>
      </c>
      <c r="J373" s="301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-0.99360317985290736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9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0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0.33039269847184127</v>
      </c>
      <c r="J374" s="301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0.23599478462274381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299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0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21155.029541468186</v>
      </c>
      <c r="J375" s="301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30352.074654514628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9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0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-97092.113194051752</v>
      </c>
      <c r="J376" s="301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-139302.43218303355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9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0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2790.2546788422269</v>
      </c>
      <c r="J377" s="301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4003.3041859534273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299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0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3316.6319438183527</v>
      </c>
      <c r="J378" s="301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0.14041863299153196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9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0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-12684.87963587243</v>
      </c>
      <c r="J379" s="301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-0.53704887618029939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9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0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1977.2267509650899</v>
      </c>
      <c r="J380" s="301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8.3711271611635912E-2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299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0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0.10365656119807908</v>
      </c>
      <c r="J381" s="301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0.17276093533013182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9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0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-0.33981228750969422</v>
      </c>
      <c r="J382" s="301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-0.56635381251615713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9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0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0.14159687077364627</v>
      </c>
      <c r="J383" s="301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0.23599478462274381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299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0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839114.86956537515</v>
      </c>
      <c r="J384" s="301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928735.14965265454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9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0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-2838130.559016156</v>
      </c>
      <c r="J385" s="301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-3141252.413780855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9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0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111577.94508092839</v>
      </c>
      <c r="J386" s="301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123494.84353238267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299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0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216968.81674665347</v>
      </c>
      <c r="J387" s="301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3.9368421035174834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9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0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-611543.0392754249</v>
      </c>
      <c r="J388" s="301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-11.096287573636651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9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0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130401.69954635475</v>
      </c>
      <c r="J389" s="301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2.3661045344768161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299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0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8.873104050369875</v>
      </c>
      <c r="J390" s="301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6.3379314645499107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9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0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-21.436727703092732</v>
      </c>
      <c r="J391" s="301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-15.311948359351952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9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0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12.219661224651155</v>
      </c>
      <c r="J392" s="301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8.7283294461793961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299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0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359620.65838516079</v>
      </c>
      <c r="J393" s="301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928735.14965265454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9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0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-1216341.6681497812</v>
      </c>
      <c r="J394" s="301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-3141252.413780855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9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0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47819.119320397884</v>
      </c>
      <c r="J395" s="301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123494.84353238267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299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0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92986.635748565779</v>
      </c>
      <c r="J396" s="301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3.9368421035174834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9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0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-262089.87397518213</v>
      </c>
      <c r="J397" s="301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-11.096287573636651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9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0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55886.442662723472</v>
      </c>
      <c r="J398" s="301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2.3661045344768161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299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0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3.802758878729946</v>
      </c>
      <c r="J399" s="301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6.3379314645499107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9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0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-9.1871690156111701</v>
      </c>
      <c r="J400" s="301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-15.311948359351952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9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0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5.2369976677076373</v>
      </c>
      <c r="J401" s="301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8.7283294461793961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299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0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613716.58108207851</v>
      </c>
      <c r="J402" s="301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689715.35963233898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299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0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664859.62950558506</v>
      </c>
      <c r="J403" s="301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747191.63960170059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299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0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2206387.2508722222</v>
      </c>
      <c r="J404" s="301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1325681.2440829689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299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0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85894.886625292784</v>
      </c>
      <c r="J405" s="301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51608.90959498124</v>
      </c>
    </row>
    <row r="406" spans="1:10" s="170" customFormat="1" x14ac:dyDescent="0.25">
      <c r="A406" s="170" t="str">
        <f>IF('[1]Processer - data'!A406&lt;&gt;"",'[1]Processer - data'!A406,"")</f>
        <v>Mejeri</v>
      </c>
      <c r="B406" s="170" t="str">
        <f>IF('[1]Processer - data'!B406&lt;&gt;"",'[1]Processer - data'!B406,"")</f>
        <v/>
      </c>
      <c r="C406" s="170" t="str">
        <f>IF('[1]Processer - data'!C406&lt;&gt;"",'[1]Processer - data'!C406,"")</f>
        <v/>
      </c>
      <c r="D406" s="170" t="str">
        <f>IF('[1]Processer - data'!D406&lt;&gt;"",'[1]Processer - data'!D406,"")</f>
        <v>Råmælk</v>
      </c>
      <c r="E406" s="170" t="str">
        <f>IF('[1]Processer - data'!E406&lt;&gt;"",'[1]Processer - data'!E406,"")</f>
        <v>Ton</v>
      </c>
      <c r="F406" s="170" t="str">
        <f>IF('[1]Processer - data'!F406&lt;&gt;"",'[1]Processer - data'!F406,"")</f>
        <v>Industriaffald</v>
      </c>
      <c r="G406" s="170" t="str">
        <f>IF('[1]Processer - data'!G406&lt;&gt;"",'[1]Processer - data'!G406,"")</f>
        <v>Ton</v>
      </c>
      <c r="H406" s="299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0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11286.588102563472</v>
      </c>
      <c r="J406" s="301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6781.4107207805355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299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0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1143513.3275141963</v>
      </c>
      <c r="J407" s="301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687066.23012129939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299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0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864230.08073603199</v>
      </c>
      <c r="J408" s="301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481498.00991175236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299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0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16557.291351915392</v>
      </c>
      <c r="J409" s="301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9224.7458323674873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299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0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77075.362749629741</v>
      </c>
      <c r="J410" s="301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42941.844543951251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299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0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76050.294593998173</v>
      </c>
      <c r="J411" s="301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42370.737048433213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299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0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71517.739783611425</v>
      </c>
      <c r="J412" s="301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39228.436179566699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299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0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34686.683355341527</v>
      </c>
      <c r="J413" s="301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19026.109443655329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299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0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4578.526290847085</v>
      </c>
      <c r="J414" s="301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2511.3828672494083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299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0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47060.295546428257</v>
      </c>
      <c r="J415" s="301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25813.201116538214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299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0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154481.48271865805</v>
      </c>
      <c r="J416" s="301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114630.7911507355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569.80240192909866</v>
      </c>
      <c r="J417" s="30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422.81378313591932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4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5">
        <f>SUMIFS('Forbrug af biomasse'!$E$1:$E$425,'Forbrug af biomasse'!$A$1:$A$425,$F418,'Forbrug af biomasse'!$C$1:$C$425,$D418,'Forbrug af biomasse'!$B$1:$B$425,$A$1,'Forbrug af biomasse'!$D$1:$D$425,I$2)*'[1]Processer - data'!I418</f>
        <v>4007852416.4909997</v>
      </c>
      <c r="J418" s="276">
        <f>SUMIFS('Forbrug af biomasse'!$E$1:$E$425,'Forbrug af biomasse'!$A$1:$A$425,$F418,'Forbrug af biomasse'!$C$1:$C$425,$D418,'Forbrug af biomasse'!$B$1:$B$425,$A$1,'Forbrug af biomasse'!$D$1:$D$425,J$2)*'[1]Processer - data'!J418</f>
        <v>2724321569.9700003</v>
      </c>
      <c r="N418" s="170"/>
      <c r="O418" s="170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7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8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79">
        <f>SUMIFS('Forbrug af biomasse'!$E$1:$E$425,'Forbrug af biomasse'!$A$1:$A$425,$F419,'Forbrug af biomasse'!$C$1:$C$425,$D419,'Forbrug af biomasse'!$B$1:$B$425,$A$1,'Forbrug af biomasse'!$D$1:$D$425,J$2)*'[1]Processer - data'!J419</f>
        <v>0</v>
      </c>
      <c r="M419" s="170"/>
      <c r="N419" s="170"/>
      <c r="O419" s="170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7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8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79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0"/>
      <c r="N420" s="170"/>
      <c r="O420" s="170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7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8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79">
        <f>SUMIFS('Forbrug af biomasse'!$E$1:$E$425,'Forbrug af biomasse'!$A$1:$A$425,$F421,'Forbrug af biomasse'!$C$1:$C$425,$D421,'Forbrug af biomasse'!$B$1:$B$425,$A$1,'Forbrug af biomasse'!$D$1:$D$425,J$2)*'[1]Processer - data'!J421</f>
        <v>0</v>
      </c>
      <c r="M421" s="170"/>
      <c r="N421" s="170"/>
      <c r="O421" s="170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7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8">
        <f>SUMIFS('Forbrug af biomasse'!$E$1:$E$425,'Forbrug af biomasse'!$A$1:$A$425,$F422,'Forbrug af biomasse'!$C$1:$C$425,$D422,'Forbrug af biomasse'!$B$1:$B$425,$A$1,'Forbrug af biomasse'!$D$1:$D$425,I$2)*'[1]Processer - data'!I422</f>
        <v>100196310.41227499</v>
      </c>
      <c r="J422" s="279">
        <f>SUMIFS('Forbrug af biomasse'!$E$1:$E$425,'Forbrug af biomasse'!$A$1:$A$425,$F422,'Forbrug af biomasse'!$C$1:$C$425,$D422,'Forbrug af biomasse'!$B$1:$B$425,$A$1,'Forbrug af biomasse'!$D$1:$D$425,J$2)*'[1]Processer - data'!J422</f>
        <v>68108039.24925001</v>
      </c>
      <c r="M422" s="170"/>
      <c r="N422" s="170"/>
      <c r="O422" s="170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7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8">
        <f>SUMIFS('Forbrug af biomasse'!$E$1:$E$425,'Forbrug af biomasse'!$A$1:$A$425,$F423,'Forbrug af biomasse'!$C$1:$C$425,$D423,'Forbrug af biomasse'!$B$1:$B$425,$A$1,'Forbrug af biomasse'!$D$1:$D$425,I$2)*'[1]Processer - data'!I423</f>
        <v>1142237938.699935</v>
      </c>
      <c r="J423" s="279">
        <f>SUMIFS('Forbrug af biomasse'!$E$1:$E$425,'Forbrug af biomasse'!$A$1:$A$425,$F423,'Forbrug af biomasse'!$C$1:$C$425,$D423,'Forbrug af biomasse'!$B$1:$B$425,$A$1,'Forbrug af biomasse'!$D$1:$D$425,J$2)*'[1]Processer - data'!J423</f>
        <v>776431647.44145</v>
      </c>
      <c r="M423" s="170"/>
      <c r="N423" s="170"/>
      <c r="O423" s="170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7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8">
        <f>SUMIFS('Forbrug af biomasse'!$E$1:$E$425,'Forbrug af biomasse'!$A$1:$A$425,$F424,'Forbrug af biomasse'!$C$1:$C$425,$D424,'Forbrug af biomasse'!$B$1:$B$425,$A$1,'Forbrug af biomasse'!$D$1:$D$425,I$2)*'[1]Processer - data'!I424</f>
        <v>330647824.36050749</v>
      </c>
      <c r="J424" s="279">
        <f>SUMIFS('Forbrug af biomasse'!$E$1:$E$425,'Forbrug af biomasse'!$A$1:$A$425,$F424,'Forbrug af biomasse'!$C$1:$C$425,$D424,'Forbrug af biomasse'!$B$1:$B$425,$A$1,'Forbrug af biomasse'!$D$1:$D$425,J$2)*'[1]Processer - data'!J424</f>
        <v>320107784.47147501</v>
      </c>
      <c r="M424" s="170"/>
      <c r="N424" s="170"/>
      <c r="O424" s="170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7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8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79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0"/>
      <c r="N425" s="170"/>
      <c r="O425" s="170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7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8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79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0"/>
      <c r="N426" s="170"/>
      <c r="O426" s="170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7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8">
        <f>SUMIFS('Forbrug af biomasse'!$E$1:$E$425,'Forbrug af biomasse'!$A$1:$A$425,$F427,'Forbrug af biomasse'!$C$1:$C$425,$D427,'Forbrug af biomasse'!$B$1:$B$425,$A$1,'Forbrug af biomasse'!$D$1:$D$425,I$2)*'[1]Processer - data'!I427</f>
        <v>1553042811.3902624</v>
      </c>
      <c r="J427" s="279">
        <f>SUMIFS('Forbrug af biomasse'!$E$1:$E$425,'Forbrug af biomasse'!$A$1:$A$425,$F427,'Forbrug af biomasse'!$C$1:$C$425,$D427,'Forbrug af biomasse'!$B$1:$B$425,$A$1,'Forbrug af biomasse'!$D$1:$D$425,J$2)*'[1]Processer - data'!J427</f>
        <v>1055674608.3633749</v>
      </c>
      <c r="M427" s="170"/>
      <c r="N427" s="170"/>
      <c r="O427" s="170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7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8">
        <f>SUMIFS('Forbrug af biomasse'!$E$1:$E$425,'Forbrug af biomasse'!$A$1:$A$425,$F428,'Forbrug af biomasse'!$C$1:$C$425,$D428,'Forbrug af biomasse'!$B$1:$B$425,$A$1,'Forbrug af biomasse'!$D$1:$D$425,I$2)*'[1]Processer - data'!I428</f>
        <v>110215941.45350248</v>
      </c>
      <c r="J428" s="279">
        <f>SUMIFS('Forbrug af biomasse'!$E$1:$E$425,'Forbrug af biomasse'!$A$1:$A$425,$F428,'Forbrug af biomasse'!$C$1:$C$425,$D428,'Forbrug af biomasse'!$B$1:$B$425,$A$1,'Forbrug af biomasse'!$D$1:$D$425,J$2)*'[1]Processer - data'!J428</f>
        <v>74918843.174174994</v>
      </c>
      <c r="M428" s="170"/>
      <c r="N428" s="170"/>
      <c r="O428" s="170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7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8">
        <f>SUMIFS('Forbrug af biomasse'!$E$1:$E$425,'Forbrug af biomasse'!$A$1:$A$425,$F429,'Forbrug af biomasse'!$C$1:$C$425,$D429,'Forbrug af biomasse'!$B$1:$B$425,$A$1,'Forbrug af biomasse'!$D$1:$D$425,I$2)*'[1]Processer - data'!I429</f>
        <v>250490776.03068748</v>
      </c>
      <c r="J429" s="279">
        <f>SUMIFS('Forbrug af biomasse'!$E$1:$E$425,'Forbrug af biomasse'!$A$1:$A$425,$F429,'Forbrug af biomasse'!$C$1:$C$425,$D429,'Forbrug af biomasse'!$B$1:$B$425,$A$1,'Forbrug af biomasse'!$D$1:$D$425,J$2)*'[1]Processer - data'!J429</f>
        <v>326918588.39640003</v>
      </c>
      <c r="M429" s="170"/>
      <c r="N429" s="170"/>
      <c r="O429" s="170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7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8">
        <f>SUMIFS('Forbrug af biomasse'!$E$1:$E$425,'Forbrug af biomasse'!$A$1:$A$425,$F430,'Forbrug af biomasse'!$C$1:$C$425,$D430,'Forbrug af biomasse'!$B$1:$B$425,$A$1,'Forbrug af biomasse'!$D$1:$D$425,I$2)*'[1]Processer - data'!I430</f>
        <v>1082120152.45257</v>
      </c>
      <c r="J430" s="279">
        <f>SUMIFS('Forbrug af biomasse'!$E$1:$E$425,'Forbrug af biomasse'!$A$1:$A$425,$F430,'Forbrug af biomasse'!$C$1:$C$425,$D430,'Forbrug af biomasse'!$B$1:$B$425,$A$1,'Forbrug af biomasse'!$D$1:$D$425,J$2)*'[1]Processer - data'!J430</f>
        <v>1409836412.459475</v>
      </c>
      <c r="M430" s="170"/>
      <c r="N430" s="170"/>
      <c r="O430" s="170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7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8">
        <f>SUMIFS('Forbrug af biomasse'!$E$1:$E$425,'Forbrug af biomasse'!$A$1:$A$425,$F431,'Forbrug af biomasse'!$C$1:$C$425,$D431,'Forbrug af biomasse'!$B$1:$B$425,$A$1,'Forbrug af biomasse'!$D$1:$D$425,I$2)*'[1]Processer - data'!I431</f>
        <v>80157048.329819992</v>
      </c>
      <c r="J431" s="279">
        <f>SUMIFS('Forbrug af biomasse'!$E$1:$E$425,'Forbrug af biomasse'!$A$1:$A$425,$F431,'Forbrug af biomasse'!$C$1:$C$425,$D431,'Forbrug af biomasse'!$B$1:$B$425,$A$1,'Forbrug af biomasse'!$D$1:$D$425,J$2)*'[1]Processer - data'!J431</f>
        <v>54486431.399400011</v>
      </c>
      <c r="M431" s="170"/>
      <c r="N431" s="170"/>
      <c r="O431" s="170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7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8">
        <f>SUMIFS('Forbrug af biomasse'!$E$1:$E$425,'Forbrug af biomasse'!$A$1:$A$425,$F432,'Forbrug af biomasse'!$C$1:$C$425,$D432,'Forbrug af biomasse'!$B$1:$B$425,$A$1,'Forbrug af biomasse'!$D$1:$D$425,I$2)*'[1]Processer - data'!I432</f>
        <v>1359065549.9139082</v>
      </c>
      <c r="J432" s="279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0"/>
      <c r="N432" s="170"/>
      <c r="O432" s="170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7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8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79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1"/>
      <c r="M433" s="124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7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8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79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  <c r="L434" s="126"/>
      <c r="M434" s="124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7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8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79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  <c r="L435" s="126"/>
      <c r="M435" s="124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7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8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65780176.674867131</v>
      </c>
      <c r="J436" s="279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43371545.060351953</v>
      </c>
      <c r="L436" s="126"/>
      <c r="M436" s="124"/>
    </row>
    <row r="437" spans="1:13" s="170" customFormat="1" x14ac:dyDescent="0.25">
      <c r="A437" s="170" t="str">
        <f>IF('[1]Processer - data'!A437&lt;&gt;"",'[1]Processer - data'!A437,"")</f>
        <v>Biogasanlæg</v>
      </c>
      <c r="B437" s="170" t="str">
        <f>IF('[1]Processer - data'!B437&lt;&gt;"",'[1]Processer - data'!B437,"")</f>
        <v/>
      </c>
      <c r="C437" s="170" t="str">
        <f>IF('[1]Processer - data'!C437&lt;&gt;"",'[1]Processer - data'!C437,"")</f>
        <v/>
      </c>
      <c r="D437" s="170" t="str">
        <f>IF('[1]Processer - data'!D437&lt;&gt;"",'[1]Processer - data'!D437,"")</f>
        <v>Svinegylle</v>
      </c>
      <c r="E437" s="170" t="str">
        <f>IF('[1]Processer - data'!E437&lt;&gt;"",'[1]Processer - data'!E437,"")</f>
        <v>Ton</v>
      </c>
      <c r="F437" s="170" t="str">
        <f>IF('[1]Processer - data'!F437&lt;&gt;"",'[1]Processer - data'!F437,"")</f>
        <v>CO2 - atmosfære</v>
      </c>
      <c r="G437" s="170" t="str">
        <f>IF('[1]Processer - data'!G437&lt;&gt;"",'[1]Processer - data'!G437,"")</f>
        <v>t CO2-ækvivalenter</v>
      </c>
      <c r="H437" s="283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4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-69768.648301352514</v>
      </c>
      <c r="J437" s="285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-46001.30657232034</v>
      </c>
      <c r="L437" s="126"/>
      <c r="M437" s="124"/>
    </row>
    <row r="438" spans="1:13" x14ac:dyDescent="0.25">
      <c r="A438" s="170" t="str">
        <f>IF('[1]Processer - data'!A438&lt;&gt;"",'[1]Processer - data'!A438,"")</f>
        <v>Biogasanlæg</v>
      </c>
      <c r="B438" s="170" t="str">
        <f>IF('[1]Processer - data'!B438&lt;&gt;"",'[1]Processer - data'!B438,"")</f>
        <v/>
      </c>
      <c r="C438" s="170" t="str">
        <f>IF('[1]Processer - data'!C438&lt;&gt;"",'[1]Processer - data'!C438,"")</f>
        <v/>
      </c>
      <c r="D438" s="170" t="str">
        <f>IF('[1]Processer - data'!D438&lt;&gt;"",'[1]Processer - data'!D438,"")</f>
        <v>Kvæggylle</v>
      </c>
      <c r="E438" s="170" t="str">
        <f>IF('[1]Processer - data'!E438&lt;&gt;"",'[1]Processer - data'!E438,"")</f>
        <v>Ton</v>
      </c>
      <c r="F438" s="170" t="str">
        <f>IF('[1]Processer - data'!F438&lt;&gt;"",'[1]Processer - data'!F438,"")</f>
        <v>Biogas</v>
      </c>
      <c r="G438" s="170" t="str">
        <f>IF('[1]Processer - data'!G438&lt;&gt;"",'[1]Processer - data'!G438,"")</f>
        <v>Nm3 CH4</v>
      </c>
      <c r="H438" s="277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8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83790800.964086816</v>
      </c>
      <c r="J438" s="279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69474692.862345576</v>
      </c>
      <c r="L438" s="126"/>
      <c r="M438" s="124"/>
    </row>
    <row r="439" spans="1:13" s="170" customFormat="1" x14ac:dyDescent="0.25">
      <c r="A439" s="170" t="str">
        <f>IF('[1]Processer - data'!A439&lt;&gt;"",'[1]Processer - data'!A439,"")</f>
        <v>Biogasanlæg</v>
      </c>
      <c r="B439" s="170" t="str">
        <f>IF('[1]Processer - data'!B439&lt;&gt;"",'[1]Processer - data'!B439,"")</f>
        <v/>
      </c>
      <c r="C439" s="170" t="str">
        <f>IF('[1]Processer - data'!C439&lt;&gt;"",'[1]Processer - data'!C439,"")</f>
        <v/>
      </c>
      <c r="D439" s="170" t="str">
        <f>IF('[1]Processer - data'!D439&lt;&gt;"",'[1]Processer - data'!D439,"")</f>
        <v>Kvæggylle</v>
      </c>
      <c r="E439" s="170" t="str">
        <f>IF('[1]Processer - data'!E439&lt;&gt;"",'[1]Processer - data'!E439,"")</f>
        <v>Ton</v>
      </c>
      <c r="F439" s="170" t="str">
        <f>IF('[1]Processer - data'!F439&lt;&gt;"",'[1]Processer - data'!F439,"")</f>
        <v>CO2 - atmosfære</v>
      </c>
      <c r="G439" s="170" t="str">
        <f>IF('[1]Processer - data'!G439&lt;&gt;"",'[1]Processer - data'!G439,"")</f>
        <v>t CO2-ækvivalenter</v>
      </c>
      <c r="H439" s="283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4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-174869.34989546295</v>
      </c>
      <c r="J439" s="285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-144991.98283392054</v>
      </c>
      <c r="L439" s="126"/>
      <c r="M439" s="124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7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8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78950.570419987707</v>
      </c>
      <c r="J440" s="279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125398.06377760776</v>
      </c>
      <c r="L440" s="126"/>
      <c r="M440" s="124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7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8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101651997.72832225</v>
      </c>
      <c r="J441" s="279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112438918.22369988</v>
      </c>
      <c r="L441" s="126"/>
      <c r="M441" s="124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7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8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79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  <c r="L442" s="127"/>
      <c r="M442" s="124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7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8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79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  <c r="L443" s="126"/>
      <c r="M443" s="124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7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8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18513304.68312218</v>
      </c>
      <c r="J444" s="279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6"/>
      <c r="M444" s="124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7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8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42639658.424782999</v>
      </c>
      <c r="J445" s="279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33607868.455817811</v>
      </c>
      <c r="L445" s="126"/>
      <c r="M445" s="124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7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8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79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6"/>
      <c r="M446" s="124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7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8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79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6"/>
      <c r="M447" s="124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7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8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20280256.608781483</v>
      </c>
      <c r="J448" s="279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20208945.924885534</v>
      </c>
      <c r="L448" s="126"/>
      <c r="M448" s="124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7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8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11829540.757492866</v>
      </c>
      <c r="J449" s="279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21339796.606772963</v>
      </c>
      <c r="L449" s="127"/>
      <c r="M449" s="124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7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8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79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6"/>
      <c r="M450" s="124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7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8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35580237.440063268</v>
      </c>
      <c r="J451" s="279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50714820.15279083</v>
      </c>
      <c r="L451" s="141"/>
      <c r="M451" s="124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3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4">
        <f ca="1">SUMIFS('Forbrug af biomasse'!$E$1:$E$425,'Forbrug af biomasse'!$A$1:$A$425,"Biogas",'Forbrug af biomasse'!$B$1:$B$425,$A$1,'Forbrug af biomasse'!$D$1:$D$425,I$2)*'[1]Processer - data'!I452</f>
        <v>16166382.724156056</v>
      </c>
      <c r="J452" s="285">
        <f ca="1">SUMIFS('Forbrug af biomasse'!$E$1:$E$425,'Forbrug af biomasse'!$A$1:$A$425,"Biogas",'Forbrug af biomasse'!$B$1:$B$425,$A$1,'Forbrug af biomasse'!$D$1:$D$425,J$2)*'[1]Processer - data'!J452</f>
        <v>15158237.369996985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3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4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15643875.350240834</v>
      </c>
      <c r="J453" s="285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2128418.4149987525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3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4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25598935.373643544</v>
      </c>
      <c r="J454" s="285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4379807.2726458982</v>
      </c>
      <c r="M454" s="170"/>
      <c r="N454" s="170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3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4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22716.25337979681</v>
      </c>
      <c r="J455" s="285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7445.1776627926565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3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4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4834986.0457958402</v>
      </c>
      <c r="J456" s="285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1103567.1603437208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3">
        <f ca="1">H452*'[1]Processer - data'!H$457*Biogasanlæg!AA$3</f>
        <v>49012317.500056781</v>
      </c>
      <c r="I457" s="284">
        <f ca="1">I452*'[1]Processer - data'!I$457*Biogasanlæg!AB$3</f>
        <v>82354118.728661105</v>
      </c>
      <c r="J457" s="285">
        <f ca="1">J452*'[1]Processer - data'!J$457*Biogasanlæg!AC$3</f>
        <v>61660676.63134855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3">
        <f ca="1">-SUMIFS('Resultater - Vestdanmark'!H$3:H$482,'Resultater - Vestdanmark'!$F$3:$F$482,"Gødning",'Resultater - Vestdanmark'!$A$3:$A$482,"&lt;&gt;Gødning")-SUM(H453:H457)</f>
        <v>90839230.234099507</v>
      </c>
      <c r="I458" s="284">
        <f ca="1">-SUMIFS('Resultater - Vestdanmark'!I$3:I$482,'Resultater - Vestdanmark'!$F$3:$F$482,"Gødning",'Resultater - Vestdanmark'!$A$3:$A$482,"&lt;&gt;Gødning")-SUM(I453:I457)</f>
        <v>196556342.90021136</v>
      </c>
      <c r="J458" s="285">
        <f ca="1">-SUMIFS('Resultater - Vestdanmark'!J$3:J$482,'Resultater - Vestdanmark'!$F$3:$F$482,"Gødning",'Resultater - Vestdanmark'!$A$3:$A$482,"&lt;&gt;Gødning")-SUM(J453:J457)</f>
        <v>176950264.60741124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6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8">
        <f>SUMIFS('Forbrug af biomasse'!$E$1:$E$425,'Forbrug af biomasse'!$A$1:$A$425,$F459,'Forbrug af biomasse'!$C$1:$C$425,$D459,'Forbrug af biomasse'!$B$1:$B$425,$A$1,'Forbrug af biomasse'!$D$1:$D$425,I$2)*'[1]Processer - data'!I459</f>
        <v>11.566584967641599</v>
      </c>
      <c r="J459" s="289">
        <f>SUMIFS('Forbrug af biomasse'!$E$1:$E$425,'Forbrug af biomasse'!$A$1:$A$425,$F459,'Forbrug af biomasse'!$C$1:$C$425,$D459,'Forbrug af biomasse'!$B$1:$B$425,$A$1,'Forbrug af biomasse'!$D$1:$D$425,J$2)*'[1]Processer - data'!J459</f>
        <v>4.9929372398407832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6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8">
        <f>SUMIFS('Forbrug af biomasse'!$E$1:$E$425,'Forbrug af biomasse'!$A$1:$A$425,$F460,'Forbrug af biomasse'!$C$1:$C$425,$D460,'Forbrug af biomasse'!$B$1:$B$425,$A$1,'Forbrug af biomasse'!$D$1:$D$425,I$2)*'[1]Processer - data'!I460</f>
        <v>6.8486746241534471</v>
      </c>
      <c r="J460" s="289">
        <f>SUMIFS('Forbrug af biomasse'!$E$1:$E$425,'Forbrug af biomasse'!$A$1:$A$425,$F460,'Forbrug af biomasse'!$C$1:$C$425,$D460,'Forbrug af biomasse'!$B$1:$B$425,$A$1,'Forbrug af biomasse'!$D$1:$D$425,J$2)*'[1]Processer - data'!J460</f>
        <v>5.8874199182905951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6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8">
        <f>SUMIFS('Forbrug af biomasse'!$E$1:$E$425,'Forbrug af biomasse'!$A$1:$A$425,$F461,'Forbrug af biomasse'!$C$1:$C$425,$D461,'Forbrug af biomasse'!$B$1:$B$425,$A$1,'Forbrug af biomasse'!$D$1:$D$425,I$2)*'[1]Processer - data'!I461</f>
        <v>2.2935338998205181</v>
      </c>
      <c r="J461" s="289">
        <f>SUMIFS('Forbrug af biomasse'!$E$1:$E$425,'Forbrug af biomasse'!$A$1:$A$425,$F461,'Forbrug af biomasse'!$C$1:$C$425,$D461,'Forbrug af biomasse'!$B$1:$B$425,$A$1,'Forbrug af biomasse'!$D$1:$D$425,J$2)*'[1]Processer - data'!J461</f>
        <v>1.5382803153526106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6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8">
        <f>SUMIFS('Forbrug af biomasse'!$E$1:$E$425,'Forbrug af biomasse'!$A$1:$A$425,$F462,'Forbrug af biomasse'!$C$1:$C$425,$D462,'Forbrug af biomasse'!$B$1:$B$425,$A$1,'Forbrug af biomasse'!$D$1:$D$425,I$2)*'[1]Processer - data'!I462</f>
        <v>32.275394668492638</v>
      </c>
      <c r="J462" s="289">
        <f>SUMIFS('Forbrug af biomasse'!$E$1:$E$425,'Forbrug af biomasse'!$A$1:$A$425,$F462,'Forbrug af biomasse'!$C$1:$C$425,$D462,'Forbrug af biomasse'!$B$1:$B$425,$A$1,'Forbrug af biomasse'!$D$1:$D$425,J$2)*'[1]Processer - data'!J462</f>
        <v>33.942154910200387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6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8">
        <f>SUMIFS('Forbrug af biomasse'!$E$1:$E$425,'Forbrug af biomasse'!$A$1:$A$425,$F463,'Forbrug af biomasse'!$C$1:$C$425,$D463,'Forbrug af biomasse'!$B$1:$B$425,$A$1,'Forbrug af biomasse'!$D$1:$D$425,I$2)*'[1]Processer - data'!I463</f>
        <v>1.7490899080527118</v>
      </c>
      <c r="J463" s="289">
        <f>SUMIFS('Forbrug af biomasse'!$E$1:$E$425,'Forbrug af biomasse'!$A$1:$A$425,$F463,'Forbrug af biomasse'!$C$1:$C$425,$D463,'Forbrug af biomasse'!$B$1:$B$425,$A$1,'Forbrug af biomasse'!$D$1:$D$425,J$2)*'[1]Processer - data'!J463</f>
        <v>1.7429396506893622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6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8">
        <f ca="1">SUMIFS('Forbrug af biomasse'!$E$1:$E$425,'Forbrug af biomasse'!$A$1:$A$425,$F464,'Forbrug af biomasse'!$C$1:$C$425,$D464,'Forbrug af biomasse'!$B$1:$B$425,$A$1,'Forbrug af biomasse'!$D$1:$D$425,I$2)*'[1]Processer - data'!I464</f>
        <v>0.18958787364267768</v>
      </c>
      <c r="J464" s="289">
        <f ca="1">SUMIFS('Forbrug af biomasse'!$E$1:$E$425,'Forbrug af biomasse'!$A$1:$A$425,$F464,'Forbrug af biomasse'!$C$1:$C$425,$D464,'Forbrug af biomasse'!$B$1:$B$425,$A$1,'Forbrug af biomasse'!$D$1:$D$425,J$2)*'[1]Processer - data'!J464</f>
        <v>0.22188935940996907</v>
      </c>
    </row>
    <row r="465" spans="1:10" s="170" customFormat="1" x14ac:dyDescent="0.25">
      <c r="A465" s="170" t="str">
        <f>IF('[1]Processer - data'!A465&lt;&gt;"",'[1]Processer - data'!A465,"")</f>
        <v>Til energi</v>
      </c>
      <c r="B465" s="170" t="str">
        <f>IF('[1]Processer - data'!B465&lt;&gt;"",'[1]Processer - data'!B465,"")</f>
        <v/>
      </c>
      <c r="C465" s="170" t="str">
        <f>IF('[1]Processer - data'!C465&lt;&gt;"",'[1]Processer - data'!C465,"")</f>
        <v/>
      </c>
      <c r="D465" s="170" t="str">
        <f>IF('[1]Processer - data'!D465&lt;&gt;"",'[1]Processer - data'!D465,"")</f>
        <v>Pyrolyseolie</v>
      </c>
      <c r="E465" s="170" t="str">
        <f>IF('[1]Processer - data'!E465&lt;&gt;"",'[1]Processer - data'!E465,"")</f>
        <v>Ton</v>
      </c>
      <c r="F465" s="170" t="str">
        <f>IF('[1]Processer - data'!F465&lt;&gt;"",'[1]Processer - data'!F465,"")</f>
        <v>Energi</v>
      </c>
      <c r="G465" s="170" t="str">
        <f>IF('[1]Processer - data'!G465&lt;&gt;"",'[1]Processer - data'!G465,"")</f>
        <v>PJ</v>
      </c>
      <c r="H465" s="286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8">
        <f>SUMIFS('Forbrug af biomasse'!$E$1:$E$425,'Forbrug af biomasse'!$A$1:$A$425,$F465,'Forbrug af biomasse'!$C$1:$C$425,$D465,'Forbrug af biomasse'!$B$1:$B$425,$A$1,'Forbrug af biomasse'!$D$1:$D$425,I$2)*'[1]Processer - data'!I465</f>
        <v>5.0565246615808173</v>
      </c>
      <c r="J465" s="289">
        <f>SUMIFS('Forbrug af biomasse'!$E$1:$E$425,'Forbrug af biomasse'!$A$1:$A$425,$F465,'Forbrug af biomasse'!$C$1:$C$425,$D465,'Forbrug af biomasse'!$B$1:$B$425,$A$1,'Forbrug af biomasse'!$D$1:$D$425,J$2)*'[1]Processer - data'!J465</f>
        <v>8.3481359859595514</v>
      </c>
    </row>
    <row r="466" spans="1:10" s="170" customFormat="1" x14ac:dyDescent="0.25">
      <c r="A466" s="170" t="str">
        <f>IF('[1]Processer - data'!A466&lt;&gt;"",'[1]Processer - data'!A466,"")</f>
        <v>Til energi</v>
      </c>
      <c r="B466" s="170" t="str">
        <f>IF('[1]Processer - data'!B466&lt;&gt;"",'[1]Processer - data'!B466,"")</f>
        <v/>
      </c>
      <c r="C466" s="170" t="str">
        <f>IF('[1]Processer - data'!C466&lt;&gt;"",'[1]Processer - data'!C466,"")</f>
        <v/>
      </c>
      <c r="D466" s="170" t="str">
        <f>IF('[1]Processer - data'!D466&lt;&gt;"",'[1]Processer - data'!D466,"")</f>
        <v>Pyrolysegas</v>
      </c>
      <c r="E466" s="170" t="str">
        <f>IF('[1]Processer - data'!E466&lt;&gt;"",'[1]Processer - data'!E466,"")</f>
        <v>Ton</v>
      </c>
      <c r="F466" s="170" t="str">
        <f>IF('[1]Processer - data'!F466&lt;&gt;"",'[1]Processer - data'!F466,"")</f>
        <v>Energi</v>
      </c>
      <c r="G466" s="170" t="str">
        <f>IF('[1]Processer - data'!G466&lt;&gt;"",'[1]Processer - data'!G466,"")</f>
        <v>PJ</v>
      </c>
      <c r="H466" s="286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8">
        <f>SUMIFS('Forbrug af biomasse'!$E$1:$E$425,'Forbrug af biomasse'!$A$1:$A$425,$F466,'Forbrug af biomasse'!$C$1:$C$425,$D466,'Forbrug af biomasse'!$B$1:$B$425,$A$1,'Forbrug af biomasse'!$D$1:$D$425,I$2)*'[1]Processer - data'!I466</f>
        <v>5.448227276210317</v>
      </c>
      <c r="J466" s="289">
        <f>SUMIFS('Forbrug af biomasse'!$E$1:$E$425,'Forbrug af biomasse'!$A$1:$A$425,$F466,'Forbrug af biomasse'!$C$1:$C$425,$D466,'Forbrug af biomasse'!$B$1:$B$425,$A$1,'Forbrug af biomasse'!$D$1:$D$425,J$2)*'[1]Processer - data'!J466</f>
        <v>8.9948225764212069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3">
        <f ca="1">SUM(H433:H451)*'[1]Processer - data'!$H$467</f>
        <v>12.632072947607</v>
      </c>
      <c r="I467" s="284">
        <f ca="1">SUM(I433:I451)*'[1]Processer - data'!$H$467</f>
        <v>15.374005851755742</v>
      </c>
      <c r="J467" s="285">
        <f ca="1">SUM(J433:J451)*'[1]Processer - data'!$H$467</f>
        <v>15.012563214697508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7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8">
        <f>SUMIFS('Forbrug af biomasse'!$E$1:$E$425,'Forbrug af biomasse'!$A$1:$A$425,$A468,'Forbrug af biomasse'!$C$1:$C$425,$D468,'Forbrug af biomasse'!$B$1:$B$425,$A$1,'Forbrug af biomasse'!$D$1:$D$425,I$2)*'[1]Processer - data'!I468</f>
        <v>393498.23725547997</v>
      </c>
      <c r="J468" s="279">
        <f>SUMIFS('Forbrug af biomasse'!$E$1:$E$425,'Forbrug af biomasse'!$A$1:$A$425,$A468,'Forbrug af biomasse'!$C$1:$C$425,$D468,'Forbrug af biomasse'!$B$1:$B$425,$A$1,'Forbrug af biomasse'!$D$1:$D$425,J$2)*'[1]Processer - data'!J468</f>
        <v>512667.7863489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7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8">
        <f>SUMIFS('Forbrug af biomasse'!$E$1:$E$425,'Forbrug af biomasse'!$A$1:$A$425,$A469,'Forbrug af biomasse'!$C$1:$C$425,$D469,'Forbrug af biomasse'!$B$1:$B$425,$A$1,'Forbrug af biomasse'!$D$1:$D$425,I$2)*'[1]Processer - data'!I469</f>
        <v>810143.42964363529</v>
      </c>
      <c r="J469" s="279">
        <f>SUMIFS('Forbrug af biomasse'!$E$1:$E$425,'Forbrug af biomasse'!$A$1:$A$425,$A469,'Forbrug af biomasse'!$C$1:$C$425,$D469,'Forbrug af biomasse'!$B$1:$B$425,$A$1,'Forbrug af biomasse'!$D$1:$D$425,J$2)*'[1]Processer - data'!J469</f>
        <v>1055492.501306559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7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8">
        <f>SUMIFS('Forbrug af biomasse'!$E$1:$E$425,'Forbrug af biomasse'!$A$1:$A$425,$A470,'Forbrug af biomasse'!$C$1:$C$425,$D470,'Forbrug af biomasse'!$B$1:$B$425,$A$1,'Forbrug af biomasse'!$D$1:$D$425,I$2)*'[1]Processer - data'!I470</f>
        <v>1150219.4392265794</v>
      </c>
      <c r="J470" s="279">
        <f>SUMIFS('Forbrug af biomasse'!$E$1:$E$425,'Forbrug af biomasse'!$A$1:$A$425,$A470,'Forbrug af biomasse'!$C$1:$C$425,$D470,'Forbrug af biomasse'!$B$1:$B$425,$A$1,'Forbrug af biomasse'!$D$1:$D$425,J$2)*'[1]Processer - data'!J470</f>
        <v>1498559.3273214886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299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0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305744.40286399319</v>
      </c>
      <c r="J471" s="301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262831.24635225872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299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0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195676.41783295566</v>
      </c>
      <c r="J472" s="301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168211.99766544558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4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5">
        <f>SUMIFS('Forbrug af biomasse'!$E$1:$E$425,'Forbrug af biomasse'!$A$1:$A$425,$A473,'Forbrug af biomasse'!$C$1:$C$425,$D473,'Forbrug af biomasse'!$B$1:$B$425,$A$1,'Forbrug af biomasse'!$D$1:$D$425,I$2)*'[1]Processer - data'!I473</f>
        <v>-708567.73784604669</v>
      </c>
      <c r="J473" s="276">
        <f>SUMIFS('Forbrug af biomasse'!$E$1:$E$425,'Forbrug af biomasse'!$A$1:$A$425,$A473,'Forbrug af biomasse'!$C$1:$C$425,$D473,'Forbrug af biomasse'!$B$1:$B$425,$A$1,'Forbrug af biomasse'!$D$1:$D$425,J$2)*'[1]Processer - data'!J473</f>
        <v>-1169819.2388432384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7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8">
        <f>SUMIFS('Forbrug af biomasse'!$E$1:$E$425,'Forbrug af biomasse'!$A$1:$A$425,$A474,'Forbrug af biomasse'!$C$1:$C$425,$D474,'Forbrug af biomasse'!$B$1:$B$425,$A$1,'Forbrug af biomasse'!$D$1:$D$425,I$2)*'[1]Processer - data'!I474</f>
        <v>151991.03671876388</v>
      </c>
      <c r="J474" s="279">
        <f>SUMIFS('Forbrug af biomasse'!$E$1:$E$425,'Forbrug af biomasse'!$A$1:$A$425,$A474,'Forbrug af biomasse'!$C$1:$C$425,$D474,'Forbrug af biomasse'!$B$1:$B$425,$A$1,'Forbrug af biomasse'!$D$1:$D$425,J$2)*'[1]Processer - data'!J474</f>
        <v>250931.60383767122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0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1">
        <f>SUMIFS('Forbrug af biomasse'!$E$1:$E$425,'Forbrug af biomasse'!$A$1:$A$425,$A475,'Forbrug af biomasse'!$C$1:$C$425,$D475,'Forbrug af biomasse'!$B$1:$B$425,$A$1,'Forbrug af biomasse'!$D$1:$D$425,I$2)*'[1]Processer - data'!I475</f>
        <v>607964.14687505551</v>
      </c>
      <c r="J475" s="282">
        <f>SUMIFS('Forbrug af biomasse'!$E$1:$E$425,'Forbrug af biomasse'!$A$1:$A$425,$A475,'Forbrug af biomasse'!$C$1:$C$425,$D475,'Forbrug af biomasse'!$B$1:$B$425,$A$1,'Forbrug af biomasse'!$D$1:$D$425,J$2)*'[1]Processer - data'!J475</f>
        <v>1003726.4153506849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0"/>
      <c r="N2" s="170"/>
      <c r="O2" s="170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2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3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4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0">
        <f>SUMIF($F$3:$F$472,"Roer",H3:H472)</f>
        <v>2252973.7408705982</v>
      </c>
      <c r="N3" s="170">
        <f>SUMIF($F$3:$F$472,"Roer",I3:I472)</f>
        <v>207966.66020436856</v>
      </c>
      <c r="O3" s="170">
        <f>SUMIF($F$3:$F$472,"Roer",J3:J472)</f>
        <v>172146.61258475881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9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0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178107.99808813466</v>
      </c>
      <c r="J4" s="301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183136.50029390544</v>
      </c>
      <c r="M4" s="170">
        <f ca="1">SUMIF($F$3:$F$472,"Bioaffald",H3:H472)</f>
        <v>165083.0224523381</v>
      </c>
      <c r="N4" s="170">
        <f ca="1">SUMIF($F$3:$F$472,"Bioaffald",I3:I472)</f>
        <v>178107.99808813466</v>
      </c>
      <c r="O4" s="170">
        <f ca="1">SUMIF($F$3:$F$472,"Bioaffald",J3:J472)</f>
        <v>183136.50029390544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9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0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1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0" customFormat="1" x14ac:dyDescent="0.25">
      <c r="A6" s="170" t="str">
        <f>IF('[1]Processer - data'!A6&lt;&gt;"",'[1]Processer - data'!A6,"")</f>
        <v>Bioaffaldsproduktion</v>
      </c>
      <c r="B6" s="170" t="str">
        <f>IF('[1]Processer - data'!B6&lt;&gt;"",'[1]Processer - data'!B6,"")</f>
        <v/>
      </c>
      <c r="C6" s="170" t="str">
        <f>IF('[1]Processer - data'!C6&lt;&gt;"",'[1]Processer - data'!C6,"")</f>
        <v/>
      </c>
      <c r="D6" s="170" t="str">
        <f>IF('[1]Processer - data'!D6&lt;&gt;"",'[1]Processer - data'!D6,"")</f>
        <v>Befolkning</v>
      </c>
      <c r="E6" s="170" t="str">
        <f>IF('[1]Processer - data'!E6&lt;&gt;"",'[1]Processer - data'!E6,"")</f>
        <v>Antal</v>
      </c>
      <c r="F6" s="170" t="str">
        <f>IF('[1]Processer - data'!F6&lt;&gt;"",'[1]Processer - data'!F6,"")</f>
        <v>Industriaffald</v>
      </c>
      <c r="G6" s="170" t="str">
        <f>IF('[1]Processer - data'!G6&lt;&gt;"",'[1]Processer - data'!G6,"")</f>
        <v>Ton</v>
      </c>
      <c r="H6" s="299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0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1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9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0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5405.5586300748464</v>
      </c>
      <c r="J7" s="301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40541.689725561351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9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0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-875.70049807212513</v>
      </c>
      <c r="J8" s="301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-6567.7537355409386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9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0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450</v>
      </c>
      <c r="J9" s="301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3375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9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0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-18.66</v>
      </c>
      <c r="J10" s="301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-139.95000000000002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9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0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1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9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0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1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9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0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1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299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0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1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299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0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1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299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0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-17698.068094637925</v>
      </c>
      <c r="J16" s="301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-11190.199653834748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299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0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1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299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0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1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299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0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-3893.5749808203436</v>
      </c>
      <c r="J19" s="301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-24618.439238436444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299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0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1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299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0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1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299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0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1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-99109.181329972387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99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0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1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1351.5459985745665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99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0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1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706.03149179268394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99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0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1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-10264.879494889998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299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0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1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299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0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1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299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0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-88490.34047318963</v>
      </c>
      <c r="J28" s="301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-55950.998269173739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299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0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1617.9376416873586</v>
      </c>
      <c r="J29" s="301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10229.955688452495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299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0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404.48441042183964</v>
      </c>
      <c r="J30" s="301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2557.4889221131239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299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0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-11326.763580568273</v>
      </c>
      <c r="J31" s="301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-71617.277784542384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299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0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1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17110.332599590522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299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0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1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5922.8074383197963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299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0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1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-3539.6136189275853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99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0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1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786.49746470913271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99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0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1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393.24873235456641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99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0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1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-8849.0340473189626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299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0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1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299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0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1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299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0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-17698.068094637925</v>
      </c>
      <c r="J40" s="301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-11190.199653834748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299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0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1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299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0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1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299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0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-3008.6715760884476</v>
      </c>
      <c r="J43" s="301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-19023.339411519071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299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0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1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299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0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1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299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0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1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-97339.374520508602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99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0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1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990.91682553170415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99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0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1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540.50008665365692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99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0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1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-9379.9760901581012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299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0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1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299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0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1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299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0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-67252.658759624115</v>
      </c>
      <c r="J52" s="301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-42522.758684572043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299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0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410.86795204973123</v>
      </c>
      <c r="J53" s="301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2597.851014140736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299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0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1438.0378321740584</v>
      </c>
      <c r="J54" s="301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9092.4785494925709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299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0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-5663.3817902841365</v>
      </c>
      <c r="J55" s="301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-35808.638892271192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299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0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1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4422.536983868632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299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0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1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5849.1618173746429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299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0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1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-31856.522570348268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99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0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1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365.55163380895181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99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0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1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199.39180025942827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99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0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1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-9202.9954092117223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299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0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1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299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0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1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299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0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1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299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0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1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299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0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1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299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0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1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299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0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1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299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0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1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299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0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1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99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0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1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99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0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1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99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0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1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299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0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1132760.582470367</v>
      </c>
      <c r="J74" s="301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539409.80117636523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299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0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1221968.9528231884</v>
      </c>
      <c r="J75" s="301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581889.97753485164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299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0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156647.60291755604</v>
      </c>
      <c r="J76" s="301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74594.096627407635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299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0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12803.87104160653</v>
      </c>
      <c r="J77" s="301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6097.0814483840622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299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0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-699080010.84074998</v>
      </c>
      <c r="J78" s="301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-332895243.25749999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299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0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-53689.266382499991</v>
      </c>
      <c r="J79" s="301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-25566.317324999996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299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0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91545.095224456803</v>
      </c>
      <c r="J80" s="301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43592.902487836574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299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0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165527.99223240255</v>
      </c>
      <c r="J81" s="301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183919.9913693362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299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0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1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299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0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179419.25132505235</v>
      </c>
      <c r="J83" s="301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199354.72369450261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299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0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5487.3733035456553</v>
      </c>
      <c r="J84" s="301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6097.0814483840622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299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0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-299605718.93175</v>
      </c>
      <c r="J85" s="301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-332895243.25749999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299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0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-20225.408568749997</v>
      </c>
      <c r="J86" s="301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-22472.676187500001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299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0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43156.973462958202</v>
      </c>
      <c r="J87" s="301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47952.192736620229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299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0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18067.296974786201</v>
      </c>
      <c r="J88" s="301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8603.4747498981924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299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0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524283.76185004303</v>
      </c>
      <c r="J89" s="301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249658.93421430624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299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0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10274.493713123991</v>
      </c>
      <c r="J90" s="301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4892.6160538685681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299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0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196255.29578149514</v>
      </c>
      <c r="J91" s="301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93454.902753092931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299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0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2235.7418730669588</v>
      </c>
      <c r="J92" s="301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1064.6389871747422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299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0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-136026567.59999999</v>
      </c>
      <c r="J93" s="301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-64774556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299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0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-568.94228999999996</v>
      </c>
      <c r="J94" s="301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-270.92489999999998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299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0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147130.96678560026</v>
      </c>
      <c r="J95" s="301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70062.365136000139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299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0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2322.5815251306008</v>
      </c>
      <c r="J96" s="301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2580.646139034001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299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0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125508.7324157113</v>
      </c>
      <c r="J97" s="301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139454.14712856812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299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0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1036.2286804428834</v>
      </c>
      <c r="J98" s="301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1151.3652004920928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299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0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47940.464813593164</v>
      </c>
      <c r="J99" s="301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53267.18312621463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299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0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958.17508845726798</v>
      </c>
      <c r="J100" s="301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1064.6389871747422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299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0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-58297100.399999999</v>
      </c>
      <c r="J101" s="301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-64774556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299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0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-293.93495999999999</v>
      </c>
      <c r="J102" s="301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-326.59440000000001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299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0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52730.600184782401</v>
      </c>
      <c r="J103" s="301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58589.555760869334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299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0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6669822.3753821151</v>
      </c>
      <c r="J104" s="301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4764158.8395586545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299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0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424.52688124359918</v>
      </c>
      <c r="J105" s="301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303.23348660257085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299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0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9409.064571640065</v>
      </c>
      <c r="J106" s="301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6720.7604083143324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299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0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13899.806971724738</v>
      </c>
      <c r="J107" s="301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9928.4335512319576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299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0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587.04464772352298</v>
      </c>
      <c r="J108" s="301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419.31760551680213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299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0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-23097835.991999999</v>
      </c>
      <c r="J109" s="301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-16498454.280000001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299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0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-547.44871019999994</v>
      </c>
      <c r="J110" s="301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-391.03479299999998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299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0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891.89216120031062</v>
      </c>
      <c r="J111" s="301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637.06582942879334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299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0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200175.19763105887</v>
      </c>
      <c r="J112" s="301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333625.32938509813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299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0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353.66363357928088</v>
      </c>
      <c r="J113" s="301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589.43938929880153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299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0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1331.6854671641556</v>
      </c>
      <c r="J114" s="301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2219.4757786069258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299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0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2451.7112782615618</v>
      </c>
      <c r="J115" s="301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4086.18546376927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299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0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251.59056331008128</v>
      </c>
      <c r="J116" s="301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419.31760551680213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299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0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-9899072.568</v>
      </c>
      <c r="J117" s="301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-16498454.280000001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299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0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-441.92288249999996</v>
      </c>
      <c r="J118" s="301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-736.53813749999995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299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0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420.46344742300357</v>
      </c>
      <c r="J119" s="301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700.77241237167266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299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0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1110654.503825617</v>
      </c>
      <c r="J120" s="301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756768.09826068731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299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0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457290.23472577595</v>
      </c>
      <c r="J121" s="301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384384.54244677641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299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0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-23647550.489186388</v>
      </c>
      <c r="J122" s="301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-16112762.115116727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299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0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336045.63970056962</v>
      </c>
      <c r="J123" s="301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228971.85291108763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299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0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18561.46575650842</v>
      </c>
      <c r="J124" s="301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0.33679291332963951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299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0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7642.3199144392756</v>
      </c>
      <c r="J125" s="301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0.17106692286192979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299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0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-267584.88100089942</v>
      </c>
      <c r="J126" s="301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-4.8552572742622848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299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0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32916.427956356536</v>
      </c>
      <c r="J127" s="301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0.59725992619625379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299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0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0.3895477509168806</v>
      </c>
      <c r="J128" s="301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0.27824839351205766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299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0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0.16038865537400951</v>
      </c>
      <c r="J129" s="301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0.14133045733891361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299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0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-3.7027113919355292</v>
      </c>
      <c r="J130" s="301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-2.6447938513825213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299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0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1.5163230525355043</v>
      </c>
      <c r="J131" s="301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1.0830878946682174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299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0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318916.50752707006</v>
      </c>
      <c r="J132" s="301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507034.62583466049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299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0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131307.62454268709</v>
      </c>
      <c r="J133" s="301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257537.6434393402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299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0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-6790225.2118949499</v>
      </c>
      <c r="J134" s="301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-10795550.617128208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299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0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144019.55987167271</v>
      </c>
      <c r="J135" s="301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228971.85291108763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299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0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5329.7923100831322</v>
      </c>
      <c r="J136" s="301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0.22565125193085847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299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0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2194.4375754318494</v>
      </c>
      <c r="J137" s="301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0.11461483831749296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299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0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-76835.087258829706</v>
      </c>
      <c r="J138" s="301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-3.2530223737557313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299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0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14107.040552724233</v>
      </c>
      <c r="J139" s="301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0.59725992619625379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299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0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0.11185585419184715</v>
      </c>
      <c r="J140" s="301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0.1864264236530786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299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0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4.6054456757394162E-2</v>
      </c>
      <c r="J141" s="301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9.4691406417072119E-2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299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0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-1.0632071282557736</v>
      </c>
      <c r="J142" s="301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-1.7720118804262892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299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0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0.64985273680093047</v>
      </c>
      <c r="J143" s="301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1.0830878946682174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299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0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326631.19205775065</v>
      </c>
      <c r="J144" s="301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222557.11852312929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299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0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-2955943.8111482989</v>
      </c>
      <c r="J145" s="301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-2014095.2643895908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299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0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33604.563970056966</v>
      </c>
      <c r="J146" s="301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22897.185291108759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299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0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332.03075608599789</v>
      </c>
      <c r="J147" s="301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6.0246107244001168E-3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299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0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-2441.4070960549448</v>
      </c>
      <c r="J148" s="301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-4.4298689515707312E-2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299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0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200.21659541908153</v>
      </c>
      <c r="J149" s="301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3.6328774544375584E-3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299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0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3.5155137606446914E-3</v>
      </c>
      <c r="J150" s="301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2.5110812576033506E-3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9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0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-2.1588520995634755E-2</v>
      </c>
      <c r="J151" s="301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-1.5420372139739111E-2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9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0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4.6530869139961963E-3</v>
      </c>
      <c r="J152" s="301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3.3236335099972826E-3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299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0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79791.334059821922</v>
      </c>
      <c r="J153" s="301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126857.55755818367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299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0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-722094.84529479872</v>
      </c>
      <c r="J154" s="301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-1148034.3007020666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299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0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14401.955987167272</v>
      </c>
      <c r="J155" s="301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22897.185291108759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299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0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81.110370415293758</v>
      </c>
      <c r="J156" s="301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3.4340281129080661E-3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299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0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-596.40087632199356</v>
      </c>
      <c r="J157" s="301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-2.5250253023953166E-2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299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0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85.807112322463496</v>
      </c>
      <c r="J158" s="301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3.6328774544375584E-3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299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0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8.5878979010034593E-4</v>
      </c>
      <c r="J159" s="301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1.4313163168339102E-3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299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0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-5.2737672717907752E-3</v>
      </c>
      <c r="J160" s="301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-8.7896121196512928E-3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299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0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1.9941801059983697E-3</v>
      </c>
      <c r="J161" s="301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3.3236335099972826E-3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299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0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36305.032826779847</v>
      </c>
      <c r="J162" s="301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24716.270441422119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9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0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-31063702.332086161</v>
      </c>
      <c r="J163" s="301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-21148000.923589204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9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0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6726.6061929246926</v>
      </c>
      <c r="J164" s="301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4579.4371984325799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9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0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8868.8008762562185</v>
      </c>
      <c r="J165" s="301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14088.274151610607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9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0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-7588418.7125524767</v>
      </c>
      <c r="J166" s="301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-12054360.526445845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9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0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2882.8312255391538</v>
      </c>
      <c r="J167" s="301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4579.4371984325799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299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0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504677.20162852557</v>
      </c>
      <c r="J168" s="301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343872.55874479411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9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0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-1662718.393770918</v>
      </c>
      <c r="J169" s="301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-1132928.5862191448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9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0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25203.422977542723</v>
      </c>
      <c r="J170" s="301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17172.888968331572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299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0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1162.9080667831561</v>
      </c>
      <c r="J171" s="301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2.1100660954488801E-2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9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0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-2554.2249272280733</v>
      </c>
      <c r="J172" s="301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-4.6345739384223567E-2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9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0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340.38653651703453</v>
      </c>
      <c r="J173" s="301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6.1762241622303092E-3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299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0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4.1280916971417295E-2</v>
      </c>
      <c r="J174" s="301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2.948636926529807E-2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9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0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-5.8287786788934391E-2</v>
      </c>
      <c r="J175" s="301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-4.1634133420667421E-2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9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0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2.6522040332639971E-2</v>
      </c>
      <c r="J176" s="301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1.8944314523314264E-2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299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0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123285.43068353979</v>
      </c>
      <c r="J177" s="301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196007.3584845326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9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0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-406178.35047832417</v>
      </c>
      <c r="J178" s="301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-645769.29414491239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9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0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10801.466990375453</v>
      </c>
      <c r="J179" s="301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17172.888968331572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299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0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284.08182774274235</v>
      </c>
      <c r="J180" s="301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1.2027376744058614E-2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9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0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-623.96066079428647</v>
      </c>
      <c r="J181" s="301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-2.6417071449007432E-2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9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0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145.87994422158624</v>
      </c>
      <c r="J182" s="301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6.1762241622303092E-3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299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0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1.0084338288731939E-2</v>
      </c>
      <c r="J183" s="301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1.6807230481219897E-2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9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0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-1.4238873629868259E-2</v>
      </c>
      <c r="J184" s="301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-2.3731456049780428E-2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9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0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1.136658871398856E-2</v>
      </c>
      <c r="J185" s="301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1.8944314523314264E-2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299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0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2555059.8938578912</v>
      </c>
      <c r="J186" s="301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1205269.2486492787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9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0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-7445283.474329778</v>
      </c>
      <c r="J187" s="301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-3512078.6172793489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9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0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109214.83290268514</v>
      </c>
      <c r="J188" s="301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51518.666904994709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299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0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42197.161796707187</v>
      </c>
      <c r="J189" s="301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0.76565640031806037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9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0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-85939.693811837104</v>
      </c>
      <c r="J190" s="301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-1.5593531367207294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9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0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10571.702442109081</v>
      </c>
      <c r="J191" s="301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0.19182075979552057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299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0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1.7978012593911343</v>
      </c>
      <c r="J192" s="301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1.2841437567079532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9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0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-2.5348449419757149</v>
      </c>
      <c r="J193" s="301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-1.8106035299826537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9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0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0.988630431740532</v>
      </c>
      <c r="J194" s="301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0.70616459410038013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299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0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854120.02166106645</v>
      </c>
      <c r="J195" s="301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940110.01394643739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9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0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-2488851.9042759542</v>
      </c>
      <c r="J196" s="301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-2739421.3214778923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9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0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46806.356958293632</v>
      </c>
      <c r="J197" s="301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51518.666904994709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299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0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14105.908372042117</v>
      </c>
      <c r="J198" s="301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0.59721199224808708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9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0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-28728.411931385544</v>
      </c>
      <c r="J199" s="301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-1.2162954466421689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9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0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4530.7296180467483</v>
      </c>
      <c r="J200" s="301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0.19182075979552057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299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0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0.60097927813932217</v>
      </c>
      <c r="J201" s="301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1.0016321302322035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9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0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-0.8473624520318821</v>
      </c>
      <c r="J202" s="301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-1.41227075338647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9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0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0.42369875646022809</v>
      </c>
      <c r="J203" s="301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0.70616459410038013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299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0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175827.22334100984</v>
      </c>
      <c r="J204" s="301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117720.08170447456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299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0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65846.294886771779</v>
      </c>
      <c r="J205" s="301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54385.851585730736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299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0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1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299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0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96613.121413913788</v>
      </c>
      <c r="J207" s="301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64684.548447382258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299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0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276.38464740243137</v>
      </c>
      <c r="J208" s="301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5.0149267207311356E-3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299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0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103.50447814182273</v>
      </c>
      <c r="J209" s="301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2.3168609501282053E-3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299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0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1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299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0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890.11282824964303</v>
      </c>
      <c r="J211" s="301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1.6150863113445969E-2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299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0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3.89605147942444E-3</v>
      </c>
      <c r="J212" s="301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2.7828939138746004E-3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299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0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1.4590491149978238E-3</v>
      </c>
      <c r="J213" s="301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1.2856774578084967E-3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9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0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1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9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0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2.7541426856519217E-2</v>
      </c>
      <c r="J215" s="301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1.9672447754656586E-2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299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0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42952.078844732401</v>
      </c>
      <c r="J216" s="301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67100.446571550492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299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0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16085.309179482818</v>
      </c>
      <c r="J217" s="301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30999.935403866515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299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0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1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299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0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41405.623463105905</v>
      </c>
      <c r="J219" s="301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64684.548447382258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299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0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67.516821008308213</v>
      </c>
      <c r="J220" s="301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2.8585082308167468E-3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299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0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25.284665374645261</v>
      </c>
      <c r="J221" s="301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1.3206107415730767E-3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299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0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1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299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0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381.47692639270417</v>
      </c>
      <c r="J223" s="301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1.6150863113445969E-2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299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0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9.5174971854511316E-4</v>
      </c>
      <c r="J224" s="301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1.5862495309085221E-3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299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0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3.5642485523518268E-4</v>
      </c>
      <c r="J225" s="301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7.3283615095084303E-4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299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0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1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299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0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1.180346865279395E-2</v>
      </c>
      <c r="J227" s="301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1.9672447754656586E-2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299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0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160921.58107891338</v>
      </c>
      <c r="J228" s="301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109647.34619336933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299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0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-249407.75906563771</v>
      </c>
      <c r="J229" s="301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-169939.28793287172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299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0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4200.5704962571208</v>
      </c>
      <c r="J230" s="301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2862.1481613885949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299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0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6215.7127518242787</v>
      </c>
      <c r="J231" s="301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0.11278247276204756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299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0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-6243.9711813995273</v>
      </c>
      <c r="J232" s="301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-0.11329521453296246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299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0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950.96836926027004</v>
      </c>
      <c r="J233" s="301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1.7255070896284121E-2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299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0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9.0948892624565875E-2</v>
      </c>
      <c r="J234" s="301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6.4963494731832758E-2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9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0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-5.5936146501738809E-2</v>
      </c>
      <c r="J235" s="301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-3.9954390358384863E-2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9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0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3.0542399675121311E-2</v>
      </c>
      <c r="J236" s="301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2.1815999767943794E-2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299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0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39310.84337784884</v>
      </c>
      <c r="J237" s="301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62498.987330220509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299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0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-60926.752571748635</v>
      </c>
      <c r="J238" s="301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-96865.39412173687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299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0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1800.244498395909</v>
      </c>
      <c r="J239" s="301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2862.1481613885949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299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0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1518.4098293742165</v>
      </c>
      <c r="J240" s="301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6.4286009474367092E-2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299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0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-1525.3129600275986</v>
      </c>
      <c r="J241" s="301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-6.4578272283788596E-2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299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0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407.55787254011574</v>
      </c>
      <c r="J242" s="301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1.7255070896284121E-2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299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0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2.2217515198286804E-2</v>
      </c>
      <c r="J243" s="301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3.7029191997144675E-2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299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0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-1.3664401502567623E-2</v>
      </c>
      <c r="J244" s="301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-2.277400250427937E-2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299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0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1.3089599860766278E-2</v>
      </c>
      <c r="J245" s="301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2.1815999767943794E-2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299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0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33628.590361909744</v>
      </c>
      <c r="J246" s="301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22913.556184854617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9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0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-517290.16695095232</v>
      </c>
      <c r="J247" s="301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-352466.67126817838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9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0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7263.1026252221463</v>
      </c>
      <c r="J248" s="301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4948.8696459871971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299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0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149.37121525884118</v>
      </c>
      <c r="J249" s="301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2.7103014069335581E-3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9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0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-1914.7462532960349</v>
      </c>
      <c r="J250" s="301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-3.4742567068468948E-2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9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0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145.8174238852159</v>
      </c>
      <c r="J251" s="301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2.6458187973277232E-3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299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0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3.541960942643706E-3</v>
      </c>
      <c r="J252" s="301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2.529972101888362E-3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9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0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-3.8917173657372434E-2</v>
      </c>
      <c r="J253" s="301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-2.7797981183837459E-2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9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0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7.9228956373484701E-3</v>
      </c>
      <c r="J254" s="301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5.6592111695346224E-3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299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0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8214.9842169808071</v>
      </c>
      <c r="J255" s="301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13060.727025367132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9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0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-126366.59792658978</v>
      </c>
      <c r="J256" s="301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-200906.00262286168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9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0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3112.7582679523484</v>
      </c>
      <c r="J257" s="301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4948.8696459871971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299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0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36.489254013231204</v>
      </c>
      <c r="J258" s="301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1.5448718019521279E-3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9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0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-467.74515616231713</v>
      </c>
      <c r="J259" s="301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-1.9803263229027299E-2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9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0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62.493181665092536</v>
      </c>
      <c r="J260" s="301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2.6458187973277232E-3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299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0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8.6525045884581965E-4</v>
      </c>
      <c r="J261" s="301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1.442084098076366E-3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9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0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-9.5069095648724102E-3</v>
      </c>
      <c r="J262" s="301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-1.584484927478735E-2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9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0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3.3955267017207733E-3</v>
      </c>
      <c r="J263" s="301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5.6592111695346224E-3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299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0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330088.14959619544</v>
      </c>
      <c r="J264" s="301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224912.59016001158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9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0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-1468321.4486890007</v>
      </c>
      <c r="J265" s="301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-1000472.0878836119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9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0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23496.8741879808</v>
      </c>
      <c r="J266" s="301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16010.09560854466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299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0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3743.2090155958158</v>
      </c>
      <c r="J267" s="301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6.791954289074599E-2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9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0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-12207.336538275636</v>
      </c>
      <c r="J268" s="301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-0.22149891019676612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9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0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1561.7279596891356</v>
      </c>
      <c r="J269" s="301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2.833714299678234E-2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299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0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8.8760743563726374E-2</v>
      </c>
      <c r="J270" s="301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6.3400531116947406E-2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9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0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-0.21420494421526892</v>
      </c>
      <c r="J271" s="301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-0.15300353158233496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9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0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8.1285455513587304E-2</v>
      </c>
      <c r="J272" s="301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5.8061039652562367E-2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299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0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80635.819401356304</v>
      </c>
      <c r="J273" s="301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128200.17639120659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9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0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-358689.95389402728</v>
      </c>
      <c r="J274" s="301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-570269.09009365877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9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0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10070.088937706058</v>
      </c>
      <c r="J275" s="301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16010.09560854466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299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0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914.41248809554907</v>
      </c>
      <c r="J276" s="301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3.8714139447725206E-2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9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0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-2982.0779257787631</v>
      </c>
      <c r="J277" s="301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-0.12625437881215668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9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0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669.31198272391532</v>
      </c>
      <c r="J278" s="301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2.833714299678234E-2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299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0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2.1682981641996009E-2</v>
      </c>
      <c r="J279" s="301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3.6138302736660015E-2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9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0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-5.2327207801158543E-2</v>
      </c>
      <c r="J280" s="301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-8.7212013001930919E-2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9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0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3.4836623791537416E-2</v>
      </c>
      <c r="J281" s="301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5.8061039652562367E-2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299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0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881512.69552921224</v>
      </c>
      <c r="J282" s="301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480509.95796837658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9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0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-2955943.8111482984</v>
      </c>
      <c r="J283" s="301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-1611276.2115116725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9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0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42005.704962571202</v>
      </c>
      <c r="J284" s="301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22897.185291108759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299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0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3630.155981709458</v>
      </c>
      <c r="J285" s="301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6.586822533087118E-2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9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0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-8242.0455997336794</v>
      </c>
      <c r="J286" s="301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-0.14954974923554781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9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0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1013.8790322601492</v>
      </c>
      <c r="J287" s="301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1.8396568326992099E-2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299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0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5.1172432029074393E-2</v>
      </c>
      <c r="J288" s="301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3.6551737163624566E-2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9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0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-7.6604739928526386E-2</v>
      </c>
      <c r="J289" s="301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-5.4717671377518852E-2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9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0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3.1370938966537219E-2</v>
      </c>
      <c r="J290" s="301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2.2407813547526585E-2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299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0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313566.65883824835</v>
      </c>
      <c r="J291" s="301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398823.26511375251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9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0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-1051471.4413941805</v>
      </c>
      <c r="J292" s="301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-1337359.2555546882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9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0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18002.444983959089</v>
      </c>
      <c r="J293" s="301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22897.185291108759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299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0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1291.2983420652217</v>
      </c>
      <c r="J294" s="301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5.4670627024623088E-2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9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0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-2931.8133633338375</v>
      </c>
      <c r="J295" s="301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-0.12412629186550467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9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0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434.51958525434975</v>
      </c>
      <c r="J296" s="301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1.8396568326992099E-2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299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0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1.8202765107485034E-2</v>
      </c>
      <c r="J297" s="301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3.0337941845808389E-2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9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0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-2.7249400346004388E-2</v>
      </c>
      <c r="J298" s="301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-4.5415667243340646E-2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9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0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1.3444688128515953E-2</v>
      </c>
      <c r="J299" s="301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2.2407813547526585E-2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299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0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158597.0268658264</v>
      </c>
      <c r="J300" s="301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122313.5884920626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299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0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106853.26740097303</v>
      </c>
      <c r="J301" s="301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101661.76058435426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299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0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-5884175.6490670824</v>
      </c>
      <c r="J302" s="301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-4538008.3925777972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299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0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76450.383031879595</v>
      </c>
      <c r="J303" s="301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58960.25212460506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299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0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1272.5355879892415</v>
      </c>
      <c r="J304" s="301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2.3089823487903383E-2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299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0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857.35898173995292</v>
      </c>
      <c r="J305" s="301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1.9191261872874919E-2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299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0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-32599.371794867988</v>
      </c>
      <c r="J306" s="301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-0.59150702555157275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299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0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3595.3047607969293</v>
      </c>
      <c r="J307" s="301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6.5235859095456303E-2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299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0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2.1693709656287891E-2</v>
      </c>
      <c r="J308" s="301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1.5495506897348492E-2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299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0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1.4615934514229408E-2</v>
      </c>
      <c r="J309" s="301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1.2879194632031256E-2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9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0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-0.3777949654840308</v>
      </c>
      <c r="J310" s="301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-0.26985354677430773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9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0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0.13453342573979779</v>
      </c>
      <c r="J311" s="301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9.6095304099855561E-2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299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0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37383.584904087649</v>
      </c>
      <c r="J312" s="301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67272.473670634427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299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0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25186.841601657925</v>
      </c>
      <c r="J313" s="301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55913.968321394845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299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0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-1386984.2601372411</v>
      </c>
      <c r="J314" s="301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-2495904.6159177884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299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0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32764.44987080554</v>
      </c>
      <c r="J315" s="301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58960.25212460506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299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0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299.9548171688927</v>
      </c>
      <c r="J316" s="301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1.2699402918346862E-2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299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0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202.09175998156036</v>
      </c>
      <c r="J317" s="301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1.0555194030081207E-2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299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0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-7684.1376373617413</v>
      </c>
      <c r="J318" s="301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-0.32532886405336503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299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0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1540.8448974843986</v>
      </c>
      <c r="J319" s="301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6.5235859095456303E-2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299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0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5.1135172761250028E-3</v>
      </c>
      <c r="J320" s="301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8.522528793541673E-3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299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0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3.4451845640683606E-3</v>
      </c>
      <c r="J321" s="301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7.0835570476171904E-3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299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0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-8.9051670435521549E-2</v>
      </c>
      <c r="J322" s="301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-0.14841945072586926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299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0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5.7657182459913331E-2</v>
      </c>
      <c r="J323" s="301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9.6095304099855561E-2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299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0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228628.04008223015</v>
      </c>
      <c r="J324" s="301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155780.58388647472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299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0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47911.761281537641</v>
      </c>
      <c r="J325" s="301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40273.198593595385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299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0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-2238867.3496045629</v>
      </c>
      <c r="J326" s="301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-1525499.946727098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299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0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33936.667215619971</v>
      </c>
      <c r="J327" s="301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23123.470909818483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299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0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13032.217638476683</v>
      </c>
      <c r="J328" s="301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0.23646616076477989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299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0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2731.0582736884057</v>
      </c>
      <c r="J329" s="301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6.1132449343527392E-2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299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0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-95714.659124593658</v>
      </c>
      <c r="J330" s="301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-1.7367173108956644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299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0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11338.070927470779</v>
      </c>
      <c r="J331" s="301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0.20572631435973845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299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0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0.39833885713614942</v>
      </c>
      <c r="J332" s="301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0.28452775509724959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299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0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8.3476708392388868E-2</v>
      </c>
      <c r="J333" s="301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7.3557580158847349E-2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299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0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-2.2290175805711314</v>
      </c>
      <c r="J334" s="301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-1.5921554146936654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299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0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0.76068372249417382</v>
      </c>
      <c r="J335" s="301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0.543345516067267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299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0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55850.564077230512</v>
      </c>
      <c r="J336" s="301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88794.93281529058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299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0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11704.158827347053</v>
      </c>
      <c r="J337" s="301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22955.723198349369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299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0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-546923.30968911457</v>
      </c>
      <c r="J338" s="301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-869534.96963444562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299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0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14544.285949551419</v>
      </c>
      <c r="J339" s="301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23123.470909818483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299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0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3183.5845945421611</v>
      </c>
      <c r="J340" s="301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0.13478571163592454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299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0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667.15852114388201</v>
      </c>
      <c r="J341" s="301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3.4845496125810616E-2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299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0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-23381.723871865022</v>
      </c>
      <c r="J342" s="301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-0.98992886721052853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299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0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4859.1732546303347</v>
      </c>
      <c r="J343" s="301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0.20572631435973845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299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0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9.7308492243259367E-2</v>
      </c>
      <c r="J344" s="301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0.16218082040543225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299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0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2.0392167335854996E-2</v>
      </c>
      <c r="J345" s="301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4.1927820690542988E-2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299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0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-0.54451715182523353</v>
      </c>
      <c r="J346" s="301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-0.90752858637538913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299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0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0.32600730964036023</v>
      </c>
      <c r="J347" s="301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0.543345516067267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299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0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150257.90833684753</v>
      </c>
      <c r="J348" s="301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102381.42568101297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299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0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-308365.11039278406</v>
      </c>
      <c r="J349" s="301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-210111.13479312364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299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0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5510.4687329829812</v>
      </c>
      <c r="J350" s="301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3754.6752200801957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299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0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1378.4678698076677</v>
      </c>
      <c r="J351" s="301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2.5011936874707128E-2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299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0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-2143.1403448502297</v>
      </c>
      <c r="J352" s="301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-3.8886717777840682E-2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299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0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228.49507343420541</v>
      </c>
      <c r="J353" s="301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4.1459829990200077E-3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299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0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3.2686882456484774E-2</v>
      </c>
      <c r="J354" s="301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2.3347773183203413E-2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9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0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-3.920335049418483E-2</v>
      </c>
      <c r="J355" s="301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-2.8002393210132023E-2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9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0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1.2415132377407405E-2</v>
      </c>
      <c r="J356" s="301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8.8679516981481459E-3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299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0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36705.860465144178</v>
      </c>
      <c r="J357" s="301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58357.412638177389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299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0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-75329.191253094396</v>
      </c>
      <c r="J358" s="301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-119763.34683208047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299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0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2361.6294569927063</v>
      </c>
      <c r="J359" s="301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3754.6752200801957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299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0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336.74000819587309</v>
      </c>
      <c r="J360" s="301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1.4256804018583062E-2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299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0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-523.53856995627029</v>
      </c>
      <c r="J361" s="301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-2.2165429133369188E-2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299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0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97.92646004323089</v>
      </c>
      <c r="J362" s="301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4.1459829990200077E-3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299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0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7.9849384286555664E-3</v>
      </c>
      <c r="J363" s="301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1.3308230714425945E-2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299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0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-9.5768184778651511E-3</v>
      </c>
      <c r="J364" s="301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-1.5961364129775252E-2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299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0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5.320771018888888E-3</v>
      </c>
      <c r="J365" s="301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8.8679516981481459E-3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299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0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28185.736786355985</v>
      </c>
      <c r="J366" s="301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19204.9519921957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9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0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-129359.91137021588</v>
      </c>
      <c r="J367" s="301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-88142.130411942941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9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0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2119.0170763237647</v>
      </c>
      <c r="J368" s="301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1443.837410741043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299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0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1427.1334944197706</v>
      </c>
      <c r="J369" s="301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2.5894961831201727E-2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9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0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-5458.2531036577047</v>
      </c>
      <c r="J370" s="301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-9.9038566705155859E-2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9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0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484.95188642981157</v>
      </c>
      <c r="J371" s="301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8.7993244067016106E-3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299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0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4.8638388094542545E-2</v>
      </c>
      <c r="J372" s="301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3.4741705781816103E-2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9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0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-0.15944887355087245</v>
      </c>
      <c r="J373" s="301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-0.11389205253633745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9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0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3.787135884322336E-2</v>
      </c>
      <c r="J374" s="301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2.7050970602302403E-2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299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0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6885.3728435241037</v>
      </c>
      <c r="J375" s="301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10946.822635551545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9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0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-31600.778349009877</v>
      </c>
      <c r="J376" s="301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-50241.014334807471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9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0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908.15017556732778</v>
      </c>
      <c r="J377" s="301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1443.837410741043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299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0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348.6283250654011</v>
      </c>
      <c r="J378" s="301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1.4760128243784983E-2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9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0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-1333.3732581792392</v>
      </c>
      <c r="J379" s="301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-5.645198302193883E-2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9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0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207.83652275563355</v>
      </c>
      <c r="J380" s="301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8.7993244067016106E-3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299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0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1.1881663377381104E-2</v>
      </c>
      <c r="J381" s="301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1.9802772295635176E-2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9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0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-3.8951081967427401E-2</v>
      </c>
      <c r="J382" s="301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-6.4918469945712348E-2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9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0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1.6230582361381439E-2</v>
      </c>
      <c r="J383" s="301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2.7050970602302403E-2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299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0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273108.5165434248</v>
      </c>
      <c r="J384" s="301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334958.94677294546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9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0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-923732.44098384329</v>
      </c>
      <c r="J385" s="301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-1132928.5862191448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9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0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36315.513126110731</v>
      </c>
      <c r="J386" s="301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44539.826813884778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299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0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23384.762124783567</v>
      </c>
      <c r="J387" s="301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0.42431035710446952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9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0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-65911.722785590391</v>
      </c>
      <c r="J388" s="301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-1.1959508710539641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9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0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14054.612871487845</v>
      </c>
      <c r="J389" s="301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0.25501725331410763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299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0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0.95633755411629473</v>
      </c>
      <c r="J390" s="301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0.68309825294021065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9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0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-2.3104369816308137</v>
      </c>
      <c r="J391" s="301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-1.6503121297362957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9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0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1.3170273741155416</v>
      </c>
      <c r="J392" s="301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0.94073383865395843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299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0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117046.5070900392</v>
      </c>
      <c r="J393" s="301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334958.94677294546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9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0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-395885.33185021859</v>
      </c>
      <c r="J394" s="301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-1132928.5862191448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9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0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15563.791339761743</v>
      </c>
      <c r="J395" s="301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44539.826813884778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299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0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10022.04091062153</v>
      </c>
      <c r="J396" s="301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0.42431035710446952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9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0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-28247.881193824458</v>
      </c>
      <c r="J397" s="301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-1.1959508710539641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9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0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6023.4055163519342</v>
      </c>
      <c r="J398" s="301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0.25501725331410763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299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0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0.40985895176412629</v>
      </c>
      <c r="J399" s="301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0.68309825294021065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9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0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-0.99018727784177718</v>
      </c>
      <c r="J400" s="301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-1.6503121297362957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9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0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0.56444030319237493</v>
      </c>
      <c r="J401" s="301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0.94073383865395843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299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0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178333.04788774872</v>
      </c>
      <c r="J402" s="301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178611.5006135212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299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0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193194.13521172779</v>
      </c>
      <c r="J403" s="301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193495.79233131465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299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0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156816.78911937549</v>
      </c>
      <c r="J404" s="301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94221.48175062571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299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0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6104.8940148772081</v>
      </c>
      <c r="J405" s="301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3668.052146982689</v>
      </c>
    </row>
    <row r="406" spans="1:10" s="170" customFormat="1" x14ac:dyDescent="0.25">
      <c r="A406" s="170" t="str">
        <f>IF('[1]Processer - data'!A406&lt;&gt;"",'[1]Processer - data'!A406,"")</f>
        <v>Mejeri</v>
      </c>
      <c r="B406" s="170" t="str">
        <f>IF('[1]Processer - data'!B406&lt;&gt;"",'[1]Processer - data'!B406,"")</f>
        <v/>
      </c>
      <c r="C406" s="170" t="str">
        <f>IF('[1]Processer - data'!C406&lt;&gt;"",'[1]Processer - data'!C406,"")</f>
        <v/>
      </c>
      <c r="D406" s="170" t="str">
        <f>IF('[1]Processer - data'!D406&lt;&gt;"",'[1]Processer - data'!D406,"")</f>
        <v>Råmælk</v>
      </c>
      <c r="E406" s="170" t="str">
        <f>IF('[1]Processer - data'!E406&lt;&gt;"",'[1]Processer - data'!E406,"")</f>
        <v>Ton</v>
      </c>
      <c r="F406" s="170" t="str">
        <f>IF('[1]Processer - data'!F406&lt;&gt;"",'[1]Processer - data'!F406,"")</f>
        <v>Industriaffald</v>
      </c>
      <c r="G406" s="170" t="str">
        <f>IF('[1]Processer - data'!G406&lt;&gt;"",'[1]Processer - data'!G406,"")</f>
        <v>Ton</v>
      </c>
      <c r="H406" s="299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0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802.18307355486513</v>
      </c>
      <c r="J406" s="301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481.98205211352536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299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0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81274.077460835601</v>
      </c>
      <c r="J407" s="301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48832.551981699173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299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0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125224.44549527422</v>
      </c>
      <c r="J408" s="301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69767.672570394658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299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0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2399.1037510306132</v>
      </c>
      <c r="J409" s="301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1336.6390587900516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299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0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11167.997708954419</v>
      </c>
      <c r="J410" s="301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6222.1493921860019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299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0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11019.468290405943</v>
      </c>
      <c r="J411" s="301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6139.3975636642117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299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0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5083.0525391711781</v>
      </c>
      <c r="J412" s="301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2788.1222579681466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299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0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2465.3216731717589</v>
      </c>
      <c r="J413" s="301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1352.2618892981654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299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0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325.41422252392476</v>
      </c>
      <c r="J414" s="301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178.49405055063502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299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0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3344.7639074610993</v>
      </c>
      <c r="J415" s="301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1834.6477094571594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299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0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12965.573823549625</v>
      </c>
      <c r="J416" s="301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9620.9199896373884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47.823305272790037</v>
      </c>
      <c r="J417" s="30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35.486604752797028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4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5">
        <f>SUMIFS('Forbrug af biomasse'!$E$1:$E$425,'Forbrug af biomasse'!$A$1:$A$425,$F418,'Forbrug af biomasse'!$C$1:$C$425,$D418,'Forbrug af biomasse'!$B$1:$B$425,$A$1,'Forbrug af biomasse'!$D$1:$D$425,I$2)*'[1]Processer - data'!I418</f>
        <v>490402522.53300011</v>
      </c>
      <c r="J418" s="276">
        <f>SUMIFS('Forbrug af biomasse'!$E$1:$E$425,'Forbrug af biomasse'!$A$1:$A$425,$F418,'Forbrug af biomasse'!$C$1:$C$425,$D418,'Forbrug af biomasse'!$B$1:$B$425,$A$1,'Forbrug af biomasse'!$D$1:$D$425,J$2)*'[1]Processer - data'!J418</f>
        <v>331334602.82999998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7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8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79">
        <f>SUMIFS('Forbrug af biomasse'!$E$1:$E$425,'Forbrug af biomasse'!$A$1:$A$425,$F419,'Forbrug af biomasse'!$C$1:$C$425,$D419,'Forbrug af biomasse'!$B$1:$B$425,$A$1,'Forbrug af biomasse'!$D$1:$D$425,J$2)*'[1]Processer - data'!J419</f>
        <v>0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7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8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79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7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8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79">
        <f>SUMIFS('Forbrug af biomasse'!$E$1:$E$425,'Forbrug af biomasse'!$A$1:$A$425,$F421,'Forbrug af biomasse'!$C$1:$C$425,$D421,'Forbrug af biomasse'!$B$1:$B$425,$A$1,'Forbrug af biomasse'!$D$1:$D$425,J$2)*'[1]Processer - data'!J421</f>
        <v>0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7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8">
        <f>SUMIFS('Forbrug af biomasse'!$E$1:$E$425,'Forbrug af biomasse'!$A$1:$A$425,$F422,'Forbrug af biomasse'!$C$1:$C$425,$D422,'Forbrug af biomasse'!$B$1:$B$425,$A$1,'Forbrug af biomasse'!$D$1:$D$425,I$2)*'[1]Processer - data'!I422</f>
        <v>12260063.063325003</v>
      </c>
      <c r="J422" s="279">
        <f>SUMIFS('Forbrug af biomasse'!$E$1:$E$425,'Forbrug af biomasse'!$A$1:$A$425,$F422,'Forbrug af biomasse'!$C$1:$C$425,$D422,'Forbrug af biomasse'!$B$1:$B$425,$A$1,'Forbrug af biomasse'!$D$1:$D$425,J$2)*'[1]Processer - data'!J422</f>
        <v>8283365.070749999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7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8">
        <f>SUMIFS('Forbrug af biomasse'!$E$1:$E$425,'Forbrug af biomasse'!$A$1:$A$425,$F423,'Forbrug af biomasse'!$C$1:$C$425,$D423,'Forbrug af biomasse'!$B$1:$B$425,$A$1,'Forbrug af biomasse'!$D$1:$D$425,I$2)*'[1]Processer - data'!I423</f>
        <v>139764718.92190504</v>
      </c>
      <c r="J423" s="279">
        <f>SUMIFS('Forbrug af biomasse'!$E$1:$E$425,'Forbrug af biomasse'!$A$1:$A$425,$F423,'Forbrug af biomasse'!$C$1:$C$425,$D423,'Forbrug af biomasse'!$B$1:$B$425,$A$1,'Forbrug af biomasse'!$D$1:$D$425,J$2)*'[1]Processer - data'!J423</f>
        <v>94430361.806549996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7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8">
        <f>SUMIFS('Forbrug af biomasse'!$E$1:$E$425,'Forbrug af biomasse'!$A$1:$A$425,$F424,'Forbrug af biomasse'!$C$1:$C$425,$D424,'Forbrug af biomasse'!$B$1:$B$425,$A$1,'Forbrug af biomasse'!$D$1:$D$425,I$2)*'[1]Processer - data'!I424</f>
        <v>40458208.108972512</v>
      </c>
      <c r="J424" s="279">
        <f>SUMIFS('Forbrug af biomasse'!$E$1:$E$425,'Forbrug af biomasse'!$A$1:$A$425,$F424,'Forbrug af biomasse'!$C$1:$C$425,$D424,'Forbrug af biomasse'!$B$1:$B$425,$A$1,'Forbrug af biomasse'!$D$1:$D$425,J$2)*'[1]Processer - data'!J424</f>
        <v>38931815.832525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7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8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79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7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8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79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7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8">
        <f>SUMIFS('Forbrug af biomasse'!$E$1:$E$425,'Forbrug af biomasse'!$A$1:$A$425,$F427,'Forbrug af biomasse'!$C$1:$C$425,$D427,'Forbrug af biomasse'!$B$1:$B$425,$A$1,'Forbrug af biomasse'!$D$1:$D$425,I$2)*'[1]Processer - data'!I427</f>
        <v>190030977.48153752</v>
      </c>
      <c r="J427" s="279">
        <f>SUMIFS('Forbrug af biomasse'!$E$1:$E$425,'Forbrug af biomasse'!$A$1:$A$425,$F427,'Forbrug af biomasse'!$C$1:$C$425,$D427,'Forbrug af biomasse'!$B$1:$B$425,$A$1,'Forbrug af biomasse'!$D$1:$D$425,J$2)*'[1]Processer - data'!J427</f>
        <v>128392158.596625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7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8">
        <f>SUMIFS('Forbrug af biomasse'!$E$1:$E$425,'Forbrug af biomasse'!$A$1:$A$425,$F428,'Forbrug af biomasse'!$C$1:$C$425,$D428,'Forbrug af biomasse'!$B$1:$B$425,$A$1,'Forbrug af biomasse'!$D$1:$D$425,I$2)*'[1]Processer - data'!I428</f>
        <v>13486069.369657502</v>
      </c>
      <c r="J428" s="279">
        <f>SUMIFS('Forbrug af biomasse'!$E$1:$E$425,'Forbrug af biomasse'!$A$1:$A$425,$F428,'Forbrug af biomasse'!$C$1:$C$425,$D428,'Forbrug af biomasse'!$B$1:$B$425,$A$1,'Forbrug af biomasse'!$D$1:$D$425,J$2)*'[1]Processer - data'!J428</f>
        <v>9111701.5778249986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7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8">
        <f>SUMIFS('Forbrug af biomasse'!$E$1:$E$425,'Forbrug af biomasse'!$A$1:$A$425,$F429,'Forbrug af biomasse'!$C$1:$C$425,$D429,'Forbrug af biomasse'!$B$1:$B$425,$A$1,'Forbrug af biomasse'!$D$1:$D$425,I$2)*'[1]Processer - data'!I429</f>
        <v>30650157.658312507</v>
      </c>
      <c r="J429" s="279">
        <f>SUMIFS('Forbrug af biomasse'!$E$1:$E$425,'Forbrug af biomasse'!$A$1:$A$425,$F429,'Forbrug af biomasse'!$C$1:$C$425,$D429,'Forbrug af biomasse'!$B$1:$B$425,$A$1,'Forbrug af biomasse'!$D$1:$D$425,J$2)*'[1]Processer - data'!J429</f>
        <v>39760152.339599997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7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8">
        <f>SUMIFS('Forbrug af biomasse'!$E$1:$E$425,'Forbrug af biomasse'!$A$1:$A$425,$F430,'Forbrug af biomasse'!$C$1:$C$425,$D430,'Forbrug af biomasse'!$B$1:$B$425,$A$1,'Forbrug af biomasse'!$D$1:$D$425,I$2)*'[1]Processer - data'!I430</f>
        <v>132408681.08391003</v>
      </c>
      <c r="J430" s="279">
        <f>SUMIFS('Forbrug af biomasse'!$E$1:$E$425,'Forbrug af biomasse'!$A$1:$A$425,$F430,'Forbrug af biomasse'!$C$1:$C$425,$D430,'Forbrug af biomasse'!$B$1:$B$425,$A$1,'Forbrug af biomasse'!$D$1:$D$425,J$2)*'[1]Processer - data'!J430</f>
        <v>171465656.96452498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7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8">
        <f>SUMIFS('Forbrug af biomasse'!$E$1:$E$425,'Forbrug af biomasse'!$A$1:$A$425,$F431,'Forbrug af biomasse'!$C$1:$C$425,$D431,'Forbrug af biomasse'!$B$1:$B$425,$A$1,'Forbrug af biomasse'!$D$1:$D$425,I$2)*'[1]Processer - data'!I431</f>
        <v>9808050.4506600015</v>
      </c>
      <c r="J431" s="279">
        <f>SUMIFS('Forbrug af biomasse'!$E$1:$E$425,'Forbrug af biomasse'!$A$1:$A$425,$F431,'Forbrug af biomasse'!$C$1:$C$425,$D431,'Forbrug af biomasse'!$B$1:$B$425,$A$1,'Forbrug af biomasse'!$D$1:$D$425,J$2)*'[1]Processer - data'!J431</f>
        <v>6626692.0565999988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7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8">
        <f>SUMIFS('Forbrug af biomasse'!$E$1:$E$425,'Forbrug af biomasse'!$A$1:$A$425,$F432,'Forbrug af biomasse'!$C$1:$C$425,$D432,'Forbrug af biomasse'!$B$1:$B$425,$A$1,'Forbrug af biomasse'!$D$1:$D$425,I$2)*'[1]Processer - data'!I432</f>
        <v>166295837.44728097</v>
      </c>
      <c r="J432" s="279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7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8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79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7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8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79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7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8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79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7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8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9531357.8320208713</v>
      </c>
      <c r="J436" s="279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6284411.757376398</v>
      </c>
    </row>
    <row r="437" spans="1:10" s="170" customFormat="1" x14ac:dyDescent="0.25">
      <c r="A437" s="170" t="str">
        <f>IF('[1]Processer - data'!A437&lt;&gt;"",'[1]Processer - data'!A437,"")</f>
        <v>Biogasanlæg</v>
      </c>
      <c r="B437" s="170" t="str">
        <f>IF('[1]Processer - data'!B437&lt;&gt;"",'[1]Processer - data'!B437,"")</f>
        <v/>
      </c>
      <c r="C437" s="170" t="str">
        <f>IF('[1]Processer - data'!C437&lt;&gt;"",'[1]Processer - data'!C437,"")</f>
        <v/>
      </c>
      <c r="D437" s="170" t="str">
        <f>IF('[1]Processer - data'!D437&lt;&gt;"",'[1]Processer - data'!D437,"")</f>
        <v>Svinegylle</v>
      </c>
      <c r="E437" s="170" t="str">
        <f>IF('[1]Processer - data'!E437&lt;&gt;"",'[1]Processer - data'!E437,"")</f>
        <v>Ton</v>
      </c>
      <c r="F437" s="170" t="str">
        <f>IF('[1]Processer - data'!F437&lt;&gt;"",'[1]Processer - data'!F437,"")</f>
        <v>CO2 - atmosfære</v>
      </c>
      <c r="G437" s="170" t="str">
        <f>IF('[1]Processer - data'!G437&lt;&gt;"",'[1]Processer - data'!G437,"")</f>
        <v>t CO2-ækvivalenter</v>
      </c>
      <c r="H437" s="283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4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-10109.275864421341</v>
      </c>
      <c r="J437" s="285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-6665.4566139041799</v>
      </c>
    </row>
    <row r="438" spans="1:10" x14ac:dyDescent="0.25">
      <c r="A438" s="170" t="str">
        <f>IF('[1]Processer - data'!A438&lt;&gt;"",'[1]Processer - data'!A438,"")</f>
        <v>Biogasanlæg</v>
      </c>
      <c r="B438" s="170" t="str">
        <f>IF('[1]Processer - data'!B438&lt;&gt;"",'[1]Processer - data'!B438,"")</f>
        <v/>
      </c>
      <c r="C438" s="170" t="str">
        <f>IF('[1]Processer - data'!C438&lt;&gt;"",'[1]Processer - data'!C438,"")</f>
        <v/>
      </c>
      <c r="D438" s="170" t="str">
        <f>IF('[1]Processer - data'!D438&lt;&gt;"",'[1]Processer - data'!D438,"")</f>
        <v>Kvæggylle</v>
      </c>
      <c r="E438" s="170" t="str">
        <f>IF('[1]Processer - data'!E438&lt;&gt;"",'[1]Processer - data'!E438,"")</f>
        <v>Ton</v>
      </c>
      <c r="F438" s="170" t="str">
        <f>IF('[1]Processer - data'!F438&lt;&gt;"",'[1]Processer - data'!F438,"")</f>
        <v>Biogas</v>
      </c>
      <c r="G438" s="170" t="str">
        <f>IF('[1]Processer - data'!G438&lt;&gt;"",'[1]Processer - data'!G438,"")</f>
        <v>Nm3 CH4</v>
      </c>
      <c r="H438" s="277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8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5955348.2099456387</v>
      </c>
      <c r="J438" s="279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4937845.002241075</v>
      </c>
    </row>
    <row r="439" spans="1:10" s="170" customFormat="1" x14ac:dyDescent="0.25">
      <c r="A439" s="170" t="str">
        <f>IF('[1]Processer - data'!A439&lt;&gt;"",'[1]Processer - data'!A439,"")</f>
        <v>Biogasanlæg</v>
      </c>
      <c r="B439" s="170" t="str">
        <f>IF('[1]Processer - data'!B439&lt;&gt;"",'[1]Processer - data'!B439,"")</f>
        <v/>
      </c>
      <c r="C439" s="170" t="str">
        <f>IF('[1]Processer - data'!C439&lt;&gt;"",'[1]Processer - data'!C439,"")</f>
        <v/>
      </c>
      <c r="D439" s="170" t="str">
        <f>IF('[1]Processer - data'!D439&lt;&gt;"",'[1]Processer - data'!D439,"")</f>
        <v>Kvæggylle</v>
      </c>
      <c r="E439" s="170" t="str">
        <f>IF('[1]Processer - data'!E439&lt;&gt;"",'[1]Processer - data'!E439,"")</f>
        <v>Ton</v>
      </c>
      <c r="F439" s="170" t="str">
        <f>IF('[1]Processer - data'!F439&lt;&gt;"",'[1]Processer - data'!F439,"")</f>
        <v>CO2 - atmosfære</v>
      </c>
      <c r="G439" s="170" t="str">
        <f>IF('[1]Processer - data'!G439&lt;&gt;"",'[1]Processer - data'!G439,"")</f>
        <v>t CO2-ækvivalenter</v>
      </c>
      <c r="H439" s="283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4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-12428.665890431765</v>
      </c>
      <c r="J439" s="285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-10305.161610718445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7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8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6626.2922337168229</v>
      </c>
      <c r="J440" s="279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10524.61320687718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7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8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13966614.740324203</v>
      </c>
      <c r="J441" s="279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15602384.039212378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7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8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79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7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8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79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7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8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79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16350583.536771109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7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8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18917341.575217035</v>
      </c>
      <c r="J445" s="279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17689631.5441822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7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8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79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7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8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79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7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8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17559743.391218517</v>
      </c>
      <c r="J448" s="279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17631054.075114466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7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8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1447467.6273036529</v>
      </c>
      <c r="J449" s="279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2595366.5349630374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7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8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79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7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8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30190497.289301954</v>
      </c>
      <c r="J451" s="279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43728157.905110888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3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4">
        <f ca="1">SUMIFS('Forbrug af biomasse'!$E$1:$E$425,'Forbrug af biomasse'!$A$1:$A$425,"Biogas",'Forbrug af biomasse'!$B$1:$B$425,$A$1,'Forbrug af biomasse'!$D$1:$D$425,I$2)*'[1]Processer - data'!I452</f>
        <v>4106034.5064830724</v>
      </c>
      <c r="J452" s="285">
        <f ca="1">SUMIFS('Forbrug af biomasse'!$E$1:$E$425,'Forbrug af biomasse'!$A$1:$A$425,"Biogas",'Forbrug af biomasse'!$B$1:$B$425,$A$1,'Forbrug af biomasse'!$D$1:$D$425,J$2)*'[1]Processer - data'!J452</f>
        <v>4771810.3476653025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3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4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2266752.4074870143</v>
      </c>
      <c r="J453" s="285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308401.68809347128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3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4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1819418.9839441122</v>
      </c>
      <c r="J454" s="285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311290.46507429937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3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4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1906.5667613160558</v>
      </c>
      <c r="J455" s="285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624.87101313096059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3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4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664309.49598208698</v>
      </c>
      <c r="J456" s="285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153134.51001449183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3">
        <f ca="1">H452*'[1]Processer - data'!H$457*Biogasanlæg!AA$3</f>
        <v>12612124.648502612</v>
      </c>
      <c r="I457" s="284">
        <f ca="1">I452*'[1]Processer - data'!I$457*Biogasanlæg!AB$3</f>
        <v>20916791.283533033</v>
      </c>
      <c r="J457" s="285">
        <f ca="1">J452*'[1]Processer - data'!J$457*Biogasanlæg!AC$3</f>
        <v>19410769.709669195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3">
        <f ca="1">-SUMIFS('Resultater - Østdanmark'!H$3:H$482,'Resultater - Østdanmark'!$F$3:$F$482,"Gødning",'Resultater - Østdanmark'!$A$3:$A$482,"&lt;&gt;Gødning")-SUM(H453:H457)</f>
        <v>60331183.954713687</v>
      </c>
      <c r="I458" s="284">
        <f ca="1">-SUMIFS('Resultater - Østdanmark'!I$3:I$482,'Resultater - Østdanmark'!$F$3:$F$482,"Gødning",'Resultater - Østdanmark'!$A$3:$A$482,"&lt;&gt;Gødning")-SUM(I453:I457)</f>
        <v>78576262.493985683</v>
      </c>
      <c r="J458" s="285">
        <f ca="1">-SUMIFS('Resultater - Østdanmark'!J$3:J$482,'Resultater - Østdanmark'!$F$3:$F$482,"Gødning",'Resultater - Østdanmark'!$A$3:$A$482,"&lt;&gt;Gødning")-SUM(J453:J457)</f>
        <v>68621429.796631336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6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8">
        <f>SUMIFS('Forbrug af biomasse'!$E$1:$E$425,'Forbrug af biomasse'!$A$1:$A$425,$F459,'Forbrug af biomasse'!$C$1:$C$425,$D459,'Forbrug af biomasse'!$B$1:$B$425,$A$1,'Forbrug af biomasse'!$D$1:$D$425,I$2)*'[1]Processer - data'!I459</f>
        <v>4.2014264693082932</v>
      </c>
      <c r="J459" s="289">
        <f>SUMIFS('Forbrug af biomasse'!$E$1:$E$425,'Forbrug af biomasse'!$A$1:$A$425,$F459,'Forbrug af biomasse'!$C$1:$C$425,$D459,'Forbrug af biomasse'!$B$1:$B$425,$A$1,'Forbrug af biomasse'!$D$1:$D$425,J$2)*'[1]Processer - data'!J459</f>
        <v>1.9712235403005558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6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8">
        <f>SUMIFS('Forbrug af biomasse'!$E$1:$E$425,'Forbrug af biomasse'!$A$1:$A$425,$F460,'Forbrug af biomasse'!$C$1:$C$425,$D460,'Forbrug af biomasse'!$B$1:$B$425,$A$1,'Forbrug af biomasse'!$D$1:$D$425,I$2)*'[1]Processer - data'!I460</f>
        <v>2.2125950446017497</v>
      </c>
      <c r="J460" s="289">
        <f>SUMIFS('Forbrug af biomasse'!$E$1:$E$425,'Forbrug af biomasse'!$A$1:$A$425,$F460,'Forbrug af biomasse'!$C$1:$C$425,$D460,'Forbrug af biomasse'!$B$1:$B$425,$A$1,'Forbrug af biomasse'!$D$1:$D$425,J$2)*'[1]Processer - data'!J460</f>
        <v>2.1233645660635423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6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8">
        <f>SUMIFS('Forbrug af biomasse'!$E$1:$E$425,'Forbrug af biomasse'!$A$1:$A$425,$F461,'Forbrug af biomasse'!$C$1:$C$425,$D461,'Forbrug af biomasse'!$B$1:$B$425,$A$1,'Forbrug af biomasse'!$D$1:$D$425,I$2)*'[1]Processer - data'!I461</f>
        <v>0.67798354823726781</v>
      </c>
      <c r="J461" s="289">
        <f>SUMIFS('Forbrug af biomasse'!$E$1:$E$425,'Forbrug af biomasse'!$A$1:$A$425,$F461,'Forbrug af biomasse'!$C$1:$C$425,$D461,'Forbrug af biomasse'!$B$1:$B$425,$A$1,'Forbrug af biomasse'!$D$1:$D$425,J$2)*'[1]Processer - data'!J461</f>
        <v>0.55479440482260323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6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8">
        <f>SUMIFS('Forbrug af biomasse'!$E$1:$E$425,'Forbrug af biomasse'!$A$1:$A$425,$F462,'Forbrug af biomasse'!$C$1:$C$425,$D462,'Forbrug af biomasse'!$B$1:$B$425,$A$1,'Forbrug af biomasse'!$D$1:$D$425,I$2)*'[1]Processer - data'!I462</f>
        <v>9.3908975685760261</v>
      </c>
      <c r="J462" s="289">
        <f>SUMIFS('Forbrug af biomasse'!$E$1:$E$425,'Forbrug af biomasse'!$A$1:$A$425,$F462,'Forbrug af biomasse'!$C$1:$C$425,$D462,'Forbrug af biomasse'!$B$1:$B$425,$A$1,'Forbrug af biomasse'!$D$1:$D$425,J$2)*'[1]Processer - data'!J462</f>
        <v>9.1085402689765971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6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8">
        <f>SUMIFS('Forbrug af biomasse'!$E$1:$E$425,'Forbrug af biomasse'!$A$1:$A$425,$F463,'Forbrug af biomasse'!$C$1:$C$425,$D463,'Forbrug af biomasse'!$B$1:$B$425,$A$1,'Forbrug af biomasse'!$D$1:$D$425,I$2)*'[1]Processer - data'!I463</f>
        <v>1.5144566731111488</v>
      </c>
      <c r="J463" s="289">
        <f>SUMIFS('Forbrug af biomasse'!$E$1:$E$425,'Forbrug af biomasse'!$A$1:$A$425,$F463,'Forbrug af biomasse'!$C$1:$C$425,$D463,'Forbrug af biomasse'!$B$1:$B$425,$A$1,'Forbrug af biomasse'!$D$1:$D$425,J$2)*'[1]Processer - data'!J463</f>
        <v>1.5206069304744962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6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8">
        <f ca="1">SUMIFS('Forbrug af biomasse'!$E$1:$E$425,'Forbrug af biomasse'!$A$1:$A$425,$F464,'Forbrug af biomasse'!$C$1:$C$425,$D464,'Forbrug af biomasse'!$B$1:$B$425,$A$1,'Forbrug af biomasse'!$D$1:$D$425,I$2)*'[1]Processer - data'!I464</f>
        <v>0.16415543824088782</v>
      </c>
      <c r="J464" s="289">
        <f ca="1">SUMIFS('Forbrug af biomasse'!$E$1:$E$425,'Forbrug af biomasse'!$A$1:$A$425,$F464,'Forbrug af biomasse'!$C$1:$C$425,$D464,'Forbrug af biomasse'!$B$1:$B$425,$A$1,'Forbrug af biomasse'!$D$1:$D$425,J$2)*'[1]Processer - data'!J464</f>
        <v>0.19358472772358815</v>
      </c>
    </row>
    <row r="465" spans="1:10" s="170" customFormat="1" x14ac:dyDescent="0.25">
      <c r="A465" s="170" t="str">
        <f>IF('[1]Processer - data'!A465&lt;&gt;"",'[1]Processer - data'!A465,"")</f>
        <v>Til energi</v>
      </c>
      <c r="B465" s="170" t="str">
        <f>IF('[1]Processer - data'!B465&lt;&gt;"",'[1]Processer - data'!B465,"")</f>
        <v/>
      </c>
      <c r="C465" s="170" t="str">
        <f>IF('[1]Processer - data'!C465&lt;&gt;"",'[1]Processer - data'!C465,"")</f>
        <v/>
      </c>
      <c r="D465" s="170" t="str">
        <f>IF('[1]Processer - data'!D465&lt;&gt;"",'[1]Processer - data'!D465,"")</f>
        <v>Pyrolyseolie</v>
      </c>
      <c r="E465" s="170" t="str">
        <f>IF('[1]Processer - data'!E465&lt;&gt;"",'[1]Processer - data'!E465,"")</f>
        <v>Ton</v>
      </c>
      <c r="F465" s="170" t="str">
        <f>IF('[1]Processer - data'!F465&lt;&gt;"",'[1]Processer - data'!F465,"")</f>
        <v>Energi</v>
      </c>
      <c r="G465" s="170" t="str">
        <f>IF('[1]Processer - data'!G465&lt;&gt;"",'[1]Processer - data'!G465,"")</f>
        <v>PJ</v>
      </c>
      <c r="H465" s="286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8">
        <f>SUMIFS('Forbrug af biomasse'!$E$1:$E$425,'Forbrug af biomasse'!$A$1:$A$425,$F465,'Forbrug af biomasse'!$C$1:$C$425,$D465,'Forbrug af biomasse'!$B$1:$B$425,$A$1,'Forbrug af biomasse'!$D$1:$D$425,I$2)*'[1]Processer - data'!I465</f>
        <v>1.8367233384191815</v>
      </c>
      <c r="J465" s="289">
        <f>SUMIFS('Forbrug af biomasse'!$E$1:$E$425,'Forbrug af biomasse'!$A$1:$A$425,$F465,'Forbrug af biomasse'!$C$1:$C$425,$D465,'Forbrug af biomasse'!$B$1:$B$425,$A$1,'Forbrug af biomasse'!$D$1:$D$425,J$2)*'[1]Processer - data'!J465</f>
        <v>3.2958640140404443</v>
      </c>
    </row>
    <row r="466" spans="1:10" s="170" customFormat="1" x14ac:dyDescent="0.25">
      <c r="A466" s="170" t="str">
        <f>IF('[1]Processer - data'!A466&lt;&gt;"",'[1]Processer - data'!A466,"")</f>
        <v>Til energi</v>
      </c>
      <c r="B466" s="170" t="str">
        <f>IF('[1]Processer - data'!B466&lt;&gt;"",'[1]Processer - data'!B466,"")</f>
        <v/>
      </c>
      <c r="C466" s="170" t="str">
        <f>IF('[1]Processer - data'!C466&lt;&gt;"",'[1]Processer - data'!C466,"")</f>
        <v/>
      </c>
      <c r="D466" s="170" t="str">
        <f>IF('[1]Processer - data'!D466&lt;&gt;"",'[1]Processer - data'!D466,"")</f>
        <v>Pyrolysegas</v>
      </c>
      <c r="E466" s="170" t="str">
        <f>IF('[1]Processer - data'!E466&lt;&gt;"",'[1]Processer - data'!E466,"")</f>
        <v>Ton</v>
      </c>
      <c r="F466" s="170" t="str">
        <f>IF('[1]Processer - data'!F466&lt;&gt;"",'[1]Processer - data'!F466,"")</f>
        <v>Energi</v>
      </c>
      <c r="G466" s="170" t="str">
        <f>IF('[1]Processer - data'!G466&lt;&gt;"",'[1]Processer - data'!G466,"")</f>
        <v>PJ</v>
      </c>
      <c r="H466" s="286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8">
        <f>SUMIFS('Forbrug af biomasse'!$E$1:$E$425,'Forbrug af biomasse'!$A$1:$A$425,$F466,'Forbrug af biomasse'!$C$1:$C$425,$D466,'Forbrug af biomasse'!$B$1:$B$425,$A$1,'Forbrug af biomasse'!$D$1:$D$425,I$2)*'[1]Processer - data'!I466</f>
        <v>1.9790047237896813</v>
      </c>
      <c r="J466" s="289">
        <f>SUMIFS('Forbrug af biomasse'!$E$1:$E$425,'Forbrug af biomasse'!$A$1:$A$425,$F466,'Forbrug af biomasse'!$C$1:$C$425,$D466,'Forbrug af biomasse'!$B$1:$B$425,$A$1,'Forbrug af biomasse'!$D$1:$D$425,J$2)*'[1]Processer - data'!J466</f>
        <v>3.5511774235787885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3">
        <f ca="1">SUM(H433:H451)*'[1]Processer - data'!$H$467</f>
        <v>3.9778547832368667</v>
      </c>
      <c r="I467" s="284">
        <f ca="1">SUM(I433:I451)*'[1]Processer - data'!$H$467</f>
        <v>4.5115002433951199</v>
      </c>
      <c r="J467" s="285">
        <f ca="1">SUM(J433:J451)*'[1]Processer - data'!$H$467</f>
        <v>4.9146826806009418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7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8">
        <f>SUMIFS('Forbrug af biomasse'!$E$1:$E$425,'Forbrug af biomasse'!$A$1:$A$425,$A468,'Forbrug af biomasse'!$C$1:$C$425,$D468,'Forbrug af biomasse'!$B$1:$B$425,$A$1,'Forbrug af biomasse'!$D$1:$D$425,I$2)*'[1]Processer - data'!I468</f>
        <v>48148.61130324001</v>
      </c>
      <c r="J468" s="279">
        <f>SUMIFS('Forbrug af biomasse'!$E$1:$E$425,'Forbrug af biomasse'!$A$1:$A$425,$A468,'Forbrug af biomasse'!$C$1:$C$425,$D468,'Forbrug af biomasse'!$B$1:$B$425,$A$1,'Forbrug af biomasse'!$D$1:$D$425,J$2)*'[1]Processer - data'!J468</f>
        <v>62351.14798709999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7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8">
        <f>SUMIFS('Forbrug af biomasse'!$E$1:$E$425,'Forbrug af biomasse'!$A$1:$A$425,$A469,'Forbrug af biomasse'!$C$1:$C$425,$D469,'Forbrug af biomasse'!$B$1:$B$425,$A$1,'Forbrug af biomasse'!$D$1:$D$425,I$2)*'[1]Processer - data'!I469</f>
        <v>99129.493859611786</v>
      </c>
      <c r="J469" s="279">
        <f>SUMIFS('Forbrug af biomasse'!$E$1:$E$425,'Forbrug af biomasse'!$A$1:$A$425,$A469,'Forbrug af biomasse'!$C$1:$C$425,$D469,'Forbrug af biomasse'!$B$1:$B$425,$A$1,'Forbrug af biomasse'!$D$1:$D$425,J$2)*'[1]Processer - data'!J469</f>
        <v>128370.01056167646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7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8">
        <f>SUMIFS('Forbrug af biomasse'!$E$1:$E$425,'Forbrug af biomasse'!$A$1:$A$425,$A470,'Forbrug af biomasse'!$C$1:$C$425,$D470,'Forbrug af biomasse'!$B$1:$B$425,$A$1,'Forbrug af biomasse'!$D$1:$D$425,I$2)*'[1]Processer - data'!I470</f>
        <v>140741.33871353196</v>
      </c>
      <c r="J470" s="279">
        <f>SUMIFS('Forbrug af biomasse'!$E$1:$E$425,'Forbrug af biomasse'!$A$1:$A$425,$A470,'Forbrug af biomasse'!$C$1:$C$425,$D470,'Forbrug af biomasse'!$B$1:$B$425,$A$1,'Forbrug af biomasse'!$D$1:$D$425,J$2)*'[1]Processer - data'!J470</f>
        <v>182256.22298351699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98776.564491149547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94793.060984979573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299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0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63217.001274335715</v>
      </c>
      <c r="J472" s="301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60667.559030386925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4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5">
        <f>SUMIFS('Forbrug af biomasse'!$E$1:$E$425,'Forbrug af biomasse'!$A$1:$A$425,$A473,'Forbrug af biomasse'!$C$1:$C$425,$D473,'Forbrug af biomasse'!$B$1:$B$425,$A$1,'Forbrug af biomasse'!$D$1:$D$425,I$2)*'[1]Processer - data'!I473</f>
        <v>-257378.92882061991</v>
      </c>
      <c r="J473" s="276">
        <f>SUMIFS('Forbrug af biomasse'!$E$1:$E$425,'Forbrug af biomasse'!$A$1:$A$425,$A473,'Forbrug af biomasse'!$C$1:$C$425,$D473,'Forbrug af biomasse'!$B$1:$B$425,$A$1,'Forbrug af biomasse'!$D$1:$D$425,J$2)*'[1]Processer - data'!J473</f>
        <v>-461847.42782342772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7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8">
        <f>SUMIFS('Forbrug af biomasse'!$E$1:$E$425,'Forbrug af biomasse'!$A$1:$A$425,$A474,'Forbrug af biomasse'!$C$1:$C$425,$D474,'Forbrug af biomasse'!$B$1:$B$425,$A$1,'Forbrug af biomasse'!$D$1:$D$425,I$2)*'[1]Processer - data'!I474</f>
        <v>55208.963281236145</v>
      </c>
      <c r="J474" s="279">
        <f>SUMIFS('Forbrug af biomasse'!$E$1:$E$425,'Forbrug af biomasse'!$A$1:$A$425,$A474,'Forbrug af biomasse'!$C$1:$C$425,$D474,'Forbrug af biomasse'!$B$1:$B$425,$A$1,'Forbrug af biomasse'!$D$1:$D$425,J$2)*'[1]Processer - data'!J474</f>
        <v>99068.396162328732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0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1">
        <f>SUMIFS('Forbrug af biomasse'!$E$1:$E$425,'Forbrug af biomasse'!$A$1:$A$425,$A475,'Forbrug af biomasse'!$C$1:$C$425,$D475,'Forbrug af biomasse'!$B$1:$B$425,$A$1,'Forbrug af biomasse'!$D$1:$D$425,I$2)*'[1]Processer - data'!I475</f>
        <v>220835.85312494458</v>
      </c>
      <c r="J475" s="282">
        <f>SUMIFS('Forbrug af biomasse'!$E$1:$E$425,'Forbrug af biomasse'!$A$1:$A$425,$A475,'Forbrug af biomasse'!$C$1:$C$425,$D475,'Forbrug af biomasse'!$B$1:$B$425,$A$1,'Forbrug af biomasse'!$D$1:$D$425,J$2)*'[1]Processer - data'!J475</f>
        <v>396273.58464931493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topLeftCell="B1" zoomScale="80" zoomScaleNormal="80" workbookViewId="0">
      <selection activeCell="J79" sqref="J79:J34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4">
        <f>'Resultater - Vestdanmark'!H3+'Resultater - Østdanmark'!H3</f>
        <v>6905432.901678659</v>
      </c>
      <c r="I3" s="275">
        <f>'Resultater - Vestdanmark'!I3+'Resultater - Østdanmark'!I3</f>
        <v>7187550.2724163011</v>
      </c>
      <c r="J3" s="276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6418981.0641350187</v>
      </c>
      <c r="O3" s="98">
        <f>SUMIF($F$3:$F$487,$L$3,J$3:J$487)</f>
        <v>-93896.599884834606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7">
        <f ca="1">'Resultater - Vestdanmark'!H4+'Resultater - Østdanmark'!H4</f>
        <v>358674.32551850227</v>
      </c>
      <c r="I4" s="278">
        <f ca="1">'Resultater - Vestdanmark'!I4+'Resultater - Østdanmark'!I4</f>
        <v>383810.08751104167</v>
      </c>
      <c r="J4" s="279">
        <f ca="1">'Resultater - Vestdanmark'!J4+'Resultater - Østdanmark'!J4</f>
        <v>393049.9640916331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1064341.4792402731</v>
      </c>
      <c r="O4" s="98">
        <f t="shared" si="0"/>
        <v>723338.86938659335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7">
        <f>'Resultater - Vestdanmark'!H5+'Resultater - Østdanmark'!H5</f>
        <v>982809</v>
      </c>
      <c r="I5" s="278">
        <f>'Resultater - Vestdanmark'!I5+'Resultater - Østdanmark'!I5</f>
        <v>982809</v>
      </c>
      <c r="J5" s="279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3011881.9876098512</v>
      </c>
      <c r="O5" s="98">
        <f t="shared" si="0"/>
        <v>1938763.9609475774</v>
      </c>
    </row>
    <row r="6" spans="1:21" s="170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7">
        <f>'Resultater - Vestdanmark'!H6+'Resultater - Østdanmark'!H6</f>
        <v>355018</v>
      </c>
      <c r="I6" s="278">
        <f>'Resultater - Vestdanmark'!I6+'Resultater - Østdanmark'!I6</f>
        <v>355018</v>
      </c>
      <c r="J6" s="279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16948.735689699683</v>
      </c>
      <c r="O6" s="98">
        <f t="shared" si="0"/>
        <v>17277.837353577346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7">
        <f>'Resultater - Vestdanmark'!H7+'Resultater - Østdanmark'!H7</f>
        <v>880.09999999999991</v>
      </c>
      <c r="I7" s="278">
        <f>'Resultater - Vestdanmark'!I7+'Resultater - Østdanmark'!I7</f>
        <v>27045.758448627814</v>
      </c>
      <c r="J7" s="279">
        <f>'Resultater - Vestdanmark'!J7+'Resultater - Østdanmark'!J7</f>
        <v>202843.18836470862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39146.522560045174</v>
      </c>
      <c r="O7" s="98">
        <f>SUMIFS(J$3:J$487,$F$3:$F$487,$L$3,$C$3:$C$487,$L7)+SUMIFS(J$3:J$487,$F$3:$F$487,$L$3,$C$3:$C$487,"",$A$3:$A$487,"Grøntsager I drivhus")</f>
        <v>34553.534931768176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7">
        <f>'Resultater - Vestdanmark'!H8+'Resultater - Østdanmark'!H8</f>
        <v>-142.57619999999997</v>
      </c>
      <c r="I8" s="278">
        <f>'Resultater - Vestdanmark'!I8+'Resultater - Østdanmark'!I8</f>
        <v>-4381.4128686777058</v>
      </c>
      <c r="J8" s="279">
        <f>'Resultater - Vestdanmark'!J8+'Resultater - Østdanmark'!J8</f>
        <v>-32860.596515082791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1188723.2558946707</v>
      </c>
      <c r="O8" s="98">
        <f>SUMIFS(J$3:J$487,$F$3:$F$487,$L$3,$C$3:$C$487,$L8)</f>
        <v>29.202274382245822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7">
        <f>'Resultater - Vestdanmark'!H9+'Resultater - Østdanmark'!H9</f>
        <v>76.5</v>
      </c>
      <c r="I9" s="278">
        <f>'Resultater - Vestdanmark'!I9+'Resultater - Østdanmark'!I9</f>
        <v>1800</v>
      </c>
      <c r="J9" s="279">
        <f>'Resultater - Vestdanmark'!J9+'Resultater - Østdanmark'!J9</f>
        <v>13500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39219.631490243577</v>
      </c>
      <c r="O9" s="98">
        <f>SUMIFS(J$3:J$487,$F$3:$F$487,$L$3,$C$3:$C$487,$L9)</f>
        <v>73.108930198402632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7">
        <f>'Resultater - Vestdanmark'!H10+'Resultater - Østdanmark'!H10</f>
        <v>-15.861000000000001</v>
      </c>
      <c r="I10" s="278">
        <f>'Resultater - Vestdanmark'!I10+'Resultater - Østdanmark'!I10</f>
        <v>-74.64</v>
      </c>
      <c r="J10" s="279">
        <f>'Resultater - Vestdanmark'!J10+'Resultater - Østdanmark'!J10</f>
        <v>-559.80000000000007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7">
        <f>'Resultater - Vestdanmark'!H11+'Resultater - Østdanmark'!H11</f>
        <v>1724360.8435879257</v>
      </c>
      <c r="I11" s="278">
        <f>'Resultater - Vestdanmark'!I11+'Resultater - Østdanmark'!I11</f>
        <v>1631856.7815804055</v>
      </c>
      <c r="J11" s="279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7">
        <f>'Resultater - Vestdanmark'!H12+'Resultater - Østdanmark'!H12</f>
        <v>2113570.8536589644</v>
      </c>
      <c r="I12" s="278">
        <f>'Resultater - Vestdanmark'!I12+'Resultater - Østdanmark'!I12</f>
        <v>2000187.4571203692</v>
      </c>
      <c r="J12" s="279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7">
        <f>'Resultater - Vestdanmark'!H13+'Resultater - Østdanmark'!H13</f>
        <v>-561900</v>
      </c>
      <c r="I13" s="278">
        <f>'Resultater - Vestdanmark'!I13+'Resultater - Østdanmark'!I13</f>
        <v>-531756.63839717361</v>
      </c>
      <c r="J13" s="279">
        <f>'Resultater - Vestdanmark'!J13+'Resultater - Østdanmark'!J13</f>
        <v>-481032.62804968352</v>
      </c>
    </row>
    <row r="14" spans="1:2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7">
        <f>'Resultater - Vestdanmark'!H14+'Resultater - Østdanmark'!H14</f>
        <v>0</v>
      </c>
      <c r="I14" s="278">
        <f>'Resultater - Vestdanmark'!I14+'Resultater - Østdanmark'!I14</f>
        <v>0</v>
      </c>
      <c r="J14" s="279">
        <f>'Resultater - Vestdanmark'!J14+'Resultater - Østdanmark'!J14</f>
        <v>0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7">
        <f>'Resultater - Vestdanmark'!H15+'Resultater - Østdanmark'!H15</f>
        <v>0</v>
      </c>
      <c r="I15" s="278">
        <f>'Resultater - Vestdanmark'!I15+'Resultater - Østdanmark'!I15</f>
        <v>0</v>
      </c>
      <c r="J15" s="279">
        <f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7">
        <f>'Resultater - Vestdanmark'!H16+'Resultater - Østdanmark'!H16</f>
        <v>0</v>
      </c>
      <c r="I16" s="278">
        <f>'Resultater - Vestdanmark'!I16+'Resultater - Østdanmark'!I16</f>
        <v>-159172.36454706042</v>
      </c>
      <c r="J16" s="279">
        <f>'Resultater - Vestdanmark'!J16+'Resultater - Østdanmark'!J16</f>
        <v>-93976.253233590644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7">
        <f>'Resultater - Vestdanmark'!H17+'Resultater - Østdanmark'!H17</f>
        <v>0</v>
      </c>
      <c r="I17" s="278">
        <f>'Resultater - Vestdanmark'!I17+'Resultater - Østdanmark'!I17</f>
        <v>0</v>
      </c>
      <c r="J17" s="279">
        <f>'Resultater - Vestdanmark'!J17+'Resultater - Østdanmark'!J17</f>
        <v>0</v>
      </c>
    </row>
    <row r="18" spans="1:10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7">
        <f>'Resultater - Vestdanmark'!H18+'Resultater - Østdanmark'!H18</f>
        <v>0</v>
      </c>
      <c r="I18" s="278">
        <f>'Resultater - Vestdanmark'!I18+'Resultater - Østdanmark'!I18</f>
        <v>0</v>
      </c>
      <c r="J18" s="279">
        <f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7">
        <f>'Resultater - Vestdanmark'!H19+'Resultater - Østdanmark'!H19</f>
        <v>0</v>
      </c>
      <c r="I19" s="278">
        <f>'Resultater - Vestdanmark'!I19+'Resultater - Østdanmark'!I19</f>
        <v>-35017.920200353299</v>
      </c>
      <c r="J19" s="279">
        <f>'Resultater - Vestdanmark'!J19+'Resultater - Østdanmark'!J19</f>
        <v>-206747.75711389942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7">
        <f>'Resultater - Vestdanmark'!H20+'Resultater - Østdanmark'!H20</f>
        <v>0</v>
      </c>
      <c r="I20" s="278">
        <f>'Resultater - Vestdanmark'!I20+'Resultater - Østdanmark'!I20</f>
        <v>0</v>
      </c>
      <c r="J20" s="279">
        <f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7">
        <f>'Resultater - Vestdanmark'!H21+'Resultater - Østdanmark'!H21</f>
        <v>0</v>
      </c>
      <c r="I21" s="278">
        <f>'Resultater - Vestdanmark'!I21+'Resultater - Østdanmark'!I21</f>
        <v>0</v>
      </c>
      <c r="J21" s="279">
        <f>'Resultater - Vestdanmark'!J21+'Resultater - Østdanmark'!J21</f>
        <v>0</v>
      </c>
    </row>
    <row r="22" spans="1:10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7">
        <f>'Resultater - Vestdanmark'!H22+'Resultater - Østdanmark'!H22</f>
        <v>0</v>
      </c>
      <c r="I22" s="278">
        <f>'Resultater - Vestdanmark'!I22+'Resultater - Østdanmark'!I22</f>
        <v>0</v>
      </c>
      <c r="J22" s="279">
        <f>'Resultater - Vestdanmark'!J22+'Resultater - Østdanmark'!J22</f>
        <v>-891365.24146353838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7">
        <f>'Resultater - Vestdanmark'!H23+'Resultater - Østdanmark'!H23</f>
        <v>0</v>
      </c>
      <c r="I23" s="278">
        <f>'Resultater - Vestdanmark'!I23+'Resultater - Østdanmark'!I23</f>
        <v>0</v>
      </c>
      <c r="J23" s="279">
        <f>'Resultater - Vestdanmark'!J23+'Resultater - Østdanmark'!J23</f>
        <v>12155.494669636308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7">
        <f>'Resultater - Vestdanmark'!H24+'Resultater - Østdanmark'!H24</f>
        <v>0</v>
      </c>
      <c r="I24" s="278">
        <f>'Resultater - Vestdanmark'!I24+'Resultater - Østdanmark'!I24</f>
        <v>0</v>
      </c>
      <c r="J24" s="279">
        <f>'Resultater - Vestdanmark'!J24+'Resultater - Østdanmark'!J24</f>
        <v>6349.8852751831455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7">
        <f>'Resultater - Vestdanmark'!H25+'Resultater - Østdanmark'!H25</f>
        <v>0</v>
      </c>
      <c r="I25" s="278">
        <f>'Resultater - Vestdanmark'!I25+'Resultater - Østdanmark'!I25</f>
        <v>0</v>
      </c>
      <c r="J25" s="279">
        <f>'Resultater - Vestdanmark'!J25+'Resultater - Østdanmark'!J25</f>
        <v>-92319.971437295055</v>
      </c>
    </row>
    <row r="26" spans="1:10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7">
        <f>'Resultater - Vestdanmark'!H26+'Resultater - Østdanmark'!H26</f>
        <v>0</v>
      </c>
      <c r="I26" s="278">
        <f>'Resultater - Vestdanmark'!I26+'Resultater - Østdanmark'!I26</f>
        <v>0</v>
      </c>
      <c r="J26" s="279">
        <f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7">
        <f>'Resultater - Vestdanmark'!H27+'Resultater - Østdanmark'!H27</f>
        <v>0</v>
      </c>
      <c r="I27" s="278">
        <f>'Resultater - Vestdanmark'!I27+'Resultater - Østdanmark'!I27</f>
        <v>0</v>
      </c>
      <c r="J27" s="279">
        <f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7">
        <f>'Resultater - Vestdanmark'!H28+'Resultater - Østdanmark'!H28</f>
        <v>0</v>
      </c>
      <c r="I28" s="278">
        <f>'Resultater - Vestdanmark'!I28+'Resultater - Østdanmark'!I28</f>
        <v>-795861.82273530215</v>
      </c>
      <c r="J28" s="279">
        <f>'Resultater - Vestdanmark'!J28+'Resultater - Østdanmark'!J28</f>
        <v>-469881.2661679532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7">
        <f>'Resultater - Vestdanmark'!H29+'Resultater - Østdanmark'!H29</f>
        <v>0</v>
      </c>
      <c r="I29" s="278">
        <f>'Resultater - Vestdanmark'!I29+'Resultater - Østdanmark'!I29</f>
        <v>14551.359998162565</v>
      </c>
      <c r="J29" s="279">
        <f>'Resultater - Vestdanmark'!J29+'Resultater - Østdanmark'!J29</f>
        <v>85912.042330448661</v>
      </c>
    </row>
    <row r="30" spans="1:10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7">
        <f>'Resultater - Vestdanmark'!H30+'Resultater - Østdanmark'!H30</f>
        <v>0</v>
      </c>
      <c r="I30" s="278">
        <f>'Resultater - Vestdanmark'!I30+'Resultater - Østdanmark'!I30</f>
        <v>3637.8399995406412</v>
      </c>
      <c r="J30" s="279">
        <f>'Resultater - Vestdanmark'!J30+'Resultater - Østdanmark'!J30</f>
        <v>21478.010582612165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7">
        <f>'Resultater - Vestdanmark'!H31+'Resultater - Østdanmark'!H31</f>
        <v>0</v>
      </c>
      <c r="I31" s="278">
        <f>'Resultater - Vestdanmark'!I31+'Resultater - Østdanmark'!I31</f>
        <v>-101870.31331011868</v>
      </c>
      <c r="J31" s="279">
        <f>'Resultater - Vestdanmark'!J31+'Resultater - Østdanmark'!J31</f>
        <v>-601448.02069498016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7">
        <f>'Resultater - Vestdanmark'!H32+'Resultater - Østdanmark'!H32</f>
        <v>0</v>
      </c>
      <c r="I32" s="278">
        <f>'Resultater - Vestdanmark'!I32+'Resultater - Østdanmark'!I32</f>
        <v>0</v>
      </c>
      <c r="J32" s="279">
        <f>'Resultater - Vestdanmark'!J32+'Resultater - Østdanmark'!J32</f>
        <v>153886.40632977476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7">
        <f>'Resultater - Vestdanmark'!H33+'Resultater - Østdanmark'!H33</f>
        <v>0</v>
      </c>
      <c r="I33" s="278">
        <f>'Resultater - Vestdanmark'!I33+'Resultater - Østdanmark'!I33</f>
        <v>0</v>
      </c>
      <c r="J33" s="279">
        <f>'Resultater - Vestdanmark'!J33+'Resultater - Østdanmark'!J33</f>
        <v>53268.37142184512</v>
      </c>
    </row>
    <row r="34" spans="1:10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7">
        <f>'Resultater - Vestdanmark'!H34+'Resultater - Østdanmark'!H34</f>
        <v>0</v>
      </c>
      <c r="I34" s="278">
        <f>'Resultater - Vestdanmark'!I34+'Resultater - Østdanmark'!I34</f>
        <v>0</v>
      </c>
      <c r="J34" s="279">
        <f>'Resultater - Vestdanmark'!J34+'Resultater - Østdanmark'!J34</f>
        <v>-31834.472909412088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7">
        <f>'Resultater - Vestdanmark'!H35+'Resultater - Østdanmark'!H35</f>
        <v>0</v>
      </c>
      <c r="I35" s="278">
        <f>'Resultater - Vestdanmark'!I35+'Resultater - Østdanmark'!I35</f>
        <v>0</v>
      </c>
      <c r="J35" s="279">
        <f>'Resultater - Vestdanmark'!J35+'Resultater - Østdanmark'!J35</f>
        <v>7073.5777768845801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7">
        <f>'Resultater - Vestdanmark'!H36+'Resultater - Østdanmark'!H36</f>
        <v>0</v>
      </c>
      <c r="I36" s="278">
        <f>'Resultater - Vestdanmark'!I36+'Resultater - Østdanmark'!I36</f>
        <v>0</v>
      </c>
      <c r="J36" s="279">
        <f>'Resultater - Vestdanmark'!J36+'Resultater - Østdanmark'!J36</f>
        <v>3536.788888442291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7">
        <f>'Resultater - Vestdanmark'!H37+'Resultater - Østdanmark'!H37</f>
        <v>0</v>
      </c>
      <c r="I37" s="278">
        <f>'Resultater - Vestdanmark'!I37+'Resultater - Østdanmark'!I37</f>
        <v>0</v>
      </c>
      <c r="J37" s="279">
        <f>'Resultater - Vestdanmark'!J37+'Resultater - Østdanmark'!J37</f>
        <v>-79586.182273530212</v>
      </c>
    </row>
    <row r="38" spans="1:10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7">
        <f>'Resultater - Vestdanmark'!H38+'Resultater - Østdanmark'!H38</f>
        <v>0</v>
      </c>
      <c r="I38" s="278">
        <f>'Resultater - Vestdanmark'!I38+'Resultater - Østdanmark'!I38</f>
        <v>0</v>
      </c>
      <c r="J38" s="279">
        <f>'Resultater - Vestdanmark'!J38+'Resultater - Østdanmark'!J38</f>
        <v>0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7">
        <f>'Resultater - Vestdanmark'!H39+'Resultater - Østdanmark'!H39</f>
        <v>0</v>
      </c>
      <c r="I39" s="278">
        <f>'Resultater - Vestdanmark'!I39+'Resultater - Østdanmark'!I39</f>
        <v>0</v>
      </c>
      <c r="J39" s="279">
        <f>'Resultater - Vestdanmark'!J39+'Resultater - Østdanmark'!J39</f>
        <v>0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7">
        <f>'Resultater - Vestdanmark'!H40+'Resultater - Østdanmark'!H40</f>
        <v>0</v>
      </c>
      <c r="I40" s="278">
        <f>'Resultater - Vestdanmark'!I40+'Resultater - Østdanmark'!I40</f>
        <v>-159172.36454706042</v>
      </c>
      <c r="J40" s="279">
        <f>'Resultater - Vestdanmark'!J40+'Resultater - Østdanmark'!J40</f>
        <v>-93976.253233590644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7">
        <f>'Resultater - Vestdanmark'!H41+'Resultater - Østdanmark'!H41</f>
        <v>0</v>
      </c>
      <c r="I41" s="278">
        <f>'Resultater - Vestdanmark'!I41+'Resultater - Østdanmark'!I41</f>
        <v>0</v>
      </c>
      <c r="J41" s="279">
        <f>'Resultater - Vestdanmark'!J41+'Resultater - Østdanmark'!J41</f>
        <v>0</v>
      </c>
    </row>
    <row r="42" spans="1:10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7">
        <f>'Resultater - Vestdanmark'!H42+'Resultater - Østdanmark'!H42</f>
        <v>0</v>
      </c>
      <c r="I42" s="278">
        <f>'Resultater - Vestdanmark'!I42+'Resultater - Østdanmark'!I42</f>
        <v>0</v>
      </c>
      <c r="J42" s="279">
        <f>'Resultater - Vestdanmark'!J42+'Resultater - Østdanmark'!J42</f>
        <v>0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7">
        <f>'Resultater - Vestdanmark'!H43+'Resultater - Østdanmark'!H43</f>
        <v>0</v>
      </c>
      <c r="I43" s="278">
        <f>'Resultater - Vestdanmark'!I43+'Resultater - Østdanmark'!I43</f>
        <v>-27059.301973000274</v>
      </c>
      <c r="J43" s="279">
        <f>'Resultater - Vestdanmark'!J43+'Resultater - Østdanmark'!J43</f>
        <v>-159759.63049710408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7">
        <f>'Resultater - Vestdanmark'!H44+'Resultater - Østdanmark'!H44</f>
        <v>0</v>
      </c>
      <c r="I44" s="278">
        <f>'Resultater - Vestdanmark'!I44+'Resultater - Østdanmark'!I44</f>
        <v>0</v>
      </c>
      <c r="J44" s="279">
        <f>'Resultater - Vestdanmark'!J44+'Resultater - Østdanmark'!J44</f>
        <v>0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7">
        <f>'Resultater - Vestdanmark'!H45+'Resultater - Østdanmark'!H45</f>
        <v>0</v>
      </c>
      <c r="I45" s="278">
        <f>'Resultater - Vestdanmark'!I45+'Resultater - Østdanmark'!I45</f>
        <v>0</v>
      </c>
      <c r="J45" s="279">
        <f>'Resultater - Vestdanmark'!J45+'Resultater - Østdanmark'!J45</f>
        <v>0</v>
      </c>
    </row>
    <row r="46" spans="1:10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7">
        <f>'Resultater - Vestdanmark'!H46+'Resultater - Østdanmark'!H46</f>
        <v>0</v>
      </c>
      <c r="I46" s="278">
        <f>'Resultater - Vestdanmark'!I46+'Resultater - Østdanmark'!I46</f>
        <v>0</v>
      </c>
      <c r="J46" s="279">
        <f>'Resultater - Vestdanmark'!J46+'Resultater - Østdanmark'!J46</f>
        <v>-875448.00500883244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7">
        <f>'Resultater - Vestdanmark'!H47+'Resultater - Østdanmark'!H47</f>
        <v>0</v>
      </c>
      <c r="I47" s="278">
        <f>'Resultater - Vestdanmark'!I47+'Resultater - Østdanmark'!I47</f>
        <v>0</v>
      </c>
      <c r="J47" s="279">
        <f>'Resultater - Vestdanmark'!J47+'Resultater - Østdanmark'!J47</f>
        <v>8912.078614791606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7">
        <f>'Resultater - Vestdanmark'!H48+'Resultater - Østdanmark'!H48</f>
        <v>0</v>
      </c>
      <c r="I48" s="278">
        <f>'Resultater - Vestdanmark'!I48+'Resultater - Østdanmark'!I48</f>
        <v>0</v>
      </c>
      <c r="J48" s="279">
        <f>'Resultater - Vestdanmark'!J48+'Resultater - Østdanmark'!J48</f>
        <v>4861.1337898863312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7">
        <f>'Resultater - Vestdanmark'!H49+'Resultater - Østdanmark'!H49</f>
        <v>0</v>
      </c>
      <c r="I49" s="278">
        <f>'Resultater - Vestdanmark'!I49+'Resultater - Østdanmark'!I49</f>
        <v>0</v>
      </c>
      <c r="J49" s="279">
        <f>'Resultater - Vestdanmark'!J49+'Resultater - Østdanmark'!J49</f>
        <v>-84361.353209942026</v>
      </c>
    </row>
    <row r="50" spans="1:10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7">
        <f>'Resultater - Vestdanmark'!H50+'Resultater - Østdanmark'!H50</f>
        <v>0</v>
      </c>
      <c r="I50" s="278">
        <f>'Resultater - Vestdanmark'!I50+'Resultater - Østdanmark'!I50</f>
        <v>0</v>
      </c>
      <c r="J50" s="279">
        <f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7">
        <f>'Resultater - Vestdanmark'!H51+'Resultater - Østdanmark'!H51</f>
        <v>0</v>
      </c>
      <c r="I51" s="278">
        <f>'Resultater - Vestdanmark'!I51+'Resultater - Østdanmark'!I51</f>
        <v>0</v>
      </c>
      <c r="J51" s="279">
        <f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7">
        <f>'Resultater - Vestdanmark'!H52+'Resultater - Østdanmark'!H52</f>
        <v>0</v>
      </c>
      <c r="I52" s="278">
        <f>'Resultater - Vestdanmark'!I52+'Resultater - Østdanmark'!I52</f>
        <v>-604854.9852788297</v>
      </c>
      <c r="J52" s="279">
        <f>'Resultater - Vestdanmark'!J52+'Resultater - Østdanmark'!J52</f>
        <v>-357109.76228764449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7">
        <f>'Resultater - Vestdanmark'!H53+'Resultater - Østdanmark'!H53</f>
        <v>0</v>
      </c>
      <c r="I53" s="278">
        <f>'Resultater - Vestdanmark'!I53+'Resultater - Østdanmark'!I53</f>
        <v>3695.2521085721314</v>
      </c>
      <c r="J53" s="279">
        <f>'Resultater - Vestdanmark'!J53+'Resultater - Østdanmark'!J53</f>
        <v>21816.974881620408</v>
      </c>
    </row>
    <row r="54" spans="1:10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7">
        <f>'Resultater - Vestdanmark'!H54+'Resultater - Østdanmark'!H54</f>
        <v>0</v>
      </c>
      <c r="I54" s="278">
        <f>'Resultater - Vestdanmark'!I54+'Resultater - Østdanmark'!I54</f>
        <v>12933.382380002453</v>
      </c>
      <c r="J54" s="279">
        <f>'Resultater - Vestdanmark'!J54+'Resultater - Østdanmark'!J54</f>
        <v>76359.412085671385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7">
        <f>'Resultater - Vestdanmark'!H55+'Resultater - Østdanmark'!H55</f>
        <v>0</v>
      </c>
      <c r="I55" s="278">
        <f>'Resultater - Vestdanmark'!I55+'Resultater - Østdanmark'!I55</f>
        <v>-50935.156655059342</v>
      </c>
      <c r="J55" s="279">
        <f>'Resultater - Vestdanmark'!J55+'Resultater - Østdanmark'!J55</f>
        <v>-300724.01034749008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7">
        <f>'Resultater - Vestdanmark'!H56+'Resultater - Østdanmark'!H56</f>
        <v>0</v>
      </c>
      <c r="I56" s="278">
        <f>'Resultater - Vestdanmark'!I56+'Resultater - Østdanmark'!I56</f>
        <v>0</v>
      </c>
      <c r="J56" s="279">
        <f>'Resultater - Vestdanmark'!J56+'Resultater - Østdanmark'!J56</f>
        <v>39775.283113102778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7">
        <f>'Resultater - Vestdanmark'!H57+'Resultater - Østdanmark'!H57</f>
        <v>0</v>
      </c>
      <c r="I57" s="278">
        <f>'Resultater - Vestdanmark'!I57+'Resultater - Østdanmark'!I57</f>
        <v>0</v>
      </c>
      <c r="J57" s="279">
        <f>'Resultater - Vestdanmark'!J57+'Resultater - Østdanmark'!J57</f>
        <v>52606.01960120046</v>
      </c>
    </row>
    <row r="58" spans="1:10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7">
        <f>'Resultater - Vestdanmark'!H58+'Resultater - Østdanmark'!H58</f>
        <v>0</v>
      </c>
      <c r="I58" s="278">
        <f>'Resultater - Vestdanmark'!I58+'Resultater - Østdanmark'!I58</f>
        <v>0</v>
      </c>
      <c r="J58" s="279">
        <f>'Resultater - Vestdanmark'!J58+'Resultater - Østdanmark'!J58</f>
        <v>-286510.25618470879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7">
        <f>'Resultater - Vestdanmark'!H59+'Resultater - Østdanmark'!H59</f>
        <v>0</v>
      </c>
      <c r="I59" s="278">
        <f>'Resultater - Vestdanmark'!I59+'Resultater - Østdanmark'!I59</f>
        <v>0</v>
      </c>
      <c r="J59" s="279">
        <f>'Resultater - Vestdanmark'!J59+'Resultater - Østdanmark'!J59</f>
        <v>3287.6875377737324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7">
        <f>'Resultater - Vestdanmark'!H60+'Resultater - Østdanmark'!H60</f>
        <v>0</v>
      </c>
      <c r="I60" s="278">
        <f>'Resultater - Vestdanmark'!I60+'Resultater - Østdanmark'!I60</f>
        <v>0</v>
      </c>
      <c r="J60" s="279">
        <f>'Resultater - Vestdanmark'!J60+'Resultater - Østdanmark'!J60</f>
        <v>1793.2841115129452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7">
        <f>'Resultater - Vestdanmark'!H61+'Resultater - Østdanmark'!H61</f>
        <v>0</v>
      </c>
      <c r="I61" s="278">
        <f>'Resultater - Vestdanmark'!I61+'Resultater - Østdanmark'!I61</f>
        <v>0</v>
      </c>
      <c r="J61" s="279">
        <f>'Resultater - Vestdanmark'!J61+'Resultater - Østdanmark'!J61</f>
        <v>-82769.629564471426</v>
      </c>
    </row>
    <row r="62" spans="1:10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7">
        <f>'Resultater - Vestdanmark'!H62+'Resultater - Østdanmark'!H62</f>
        <v>0</v>
      </c>
      <c r="I62" s="278">
        <f>'Resultater - Vestdanmark'!I62+'Resultater - Østdanmark'!I62</f>
        <v>0</v>
      </c>
      <c r="J62" s="279">
        <f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7">
        <f>'Resultater - Vestdanmark'!H63+'Resultater - Østdanmark'!H63</f>
        <v>0</v>
      </c>
      <c r="I63" s="278">
        <f>'Resultater - Vestdanmark'!I63+'Resultater - Østdanmark'!I63</f>
        <v>0</v>
      </c>
      <c r="J63" s="279">
        <f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7">
        <f>'Resultater - Vestdanmark'!H64+'Resultater - Østdanmark'!H64</f>
        <v>0</v>
      </c>
      <c r="I64" s="278">
        <f>'Resultater - Vestdanmark'!I64+'Resultater - Østdanmark'!I64</f>
        <v>0</v>
      </c>
      <c r="J64" s="279">
        <f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7">
        <f>'Resultater - Vestdanmark'!H65+'Resultater - Østdanmark'!H65</f>
        <v>0</v>
      </c>
      <c r="I65" s="278">
        <f>'Resultater - Vestdanmark'!I65+'Resultater - Østdanmark'!I65</f>
        <v>0</v>
      </c>
      <c r="J65" s="279">
        <f>'Resultater - Vestdanmark'!J65+'Resultater - Østdanmark'!J65</f>
        <v>0</v>
      </c>
    </row>
    <row r="66" spans="1:10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7">
        <f>'Resultater - Vestdanmark'!H66+'Resultater - Østdanmark'!H66</f>
        <v>0</v>
      </c>
      <c r="I66" s="278">
        <f>'Resultater - Vestdanmark'!I66+'Resultater - Østdanmark'!I66</f>
        <v>0</v>
      </c>
      <c r="J66" s="279">
        <f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7">
        <f>'Resultater - Vestdanmark'!H67+'Resultater - Østdanmark'!H67</f>
        <v>0</v>
      </c>
      <c r="I67" s="278">
        <f>'Resultater - Vestdanmark'!I67+'Resultater - Østdanmark'!I67</f>
        <v>0</v>
      </c>
      <c r="J67" s="279">
        <f>'Resultater - Vestdanmark'!J67+'Resultater - Østdanmark'!J67</f>
        <v>0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7">
        <f>'Resultater - Vestdanmark'!H68+'Resultater - Østdanmark'!H68</f>
        <v>0</v>
      </c>
      <c r="I68" s="278">
        <f>'Resultater - Vestdanmark'!I68+'Resultater - Østdanmark'!I68</f>
        <v>0</v>
      </c>
      <c r="J68" s="279">
        <f>'Resultater - Vestdanmark'!J68+'Resultater - Østdanmark'!J68</f>
        <v>0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7">
        <f>'Resultater - Vestdanmark'!H69+'Resultater - Østdanmark'!H69</f>
        <v>0</v>
      </c>
      <c r="I69" s="278">
        <f>'Resultater - Vestdanmark'!I69+'Resultater - Østdanmark'!I69</f>
        <v>0</v>
      </c>
      <c r="J69" s="279">
        <f>'Resultater - Vestdanmark'!J69+'Resultater - Østdanmark'!J69</f>
        <v>0</v>
      </c>
    </row>
    <row r="70" spans="1:10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7">
        <f>'Resultater - Vestdanmark'!H70+'Resultater - Østdanmark'!H70</f>
        <v>0</v>
      </c>
      <c r="I70" s="278">
        <f>'Resultater - Vestdanmark'!I70+'Resultater - Østdanmark'!I70</f>
        <v>0</v>
      </c>
      <c r="J70" s="279">
        <f>'Resultater - Vestdanmark'!J70+'Resultater - Østdanmark'!J70</f>
        <v>0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7">
        <f>'Resultater - Vestdanmark'!H71+'Resultater - Østdanmark'!H71</f>
        <v>0</v>
      </c>
      <c r="I71" s="278">
        <f>'Resultater - Vestdanmark'!I71+'Resultater - Østdanmark'!I71</f>
        <v>0</v>
      </c>
      <c r="J71" s="279">
        <f>'Resultater - Vestdanmark'!J71+'Resultater - Østdanmark'!J71</f>
        <v>0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7">
        <f>'Resultater - Vestdanmark'!H72+'Resultater - Østdanmark'!H72</f>
        <v>0</v>
      </c>
      <c r="I72" s="278">
        <f>'Resultater - Vestdanmark'!I72+'Resultater - Østdanmark'!I72</f>
        <v>0</v>
      </c>
      <c r="J72" s="279">
        <f>'Resultater - Vestdanmark'!J72+'Resultater - Østdanmark'!J72</f>
        <v>0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7">
        <f>'Resultater - Vestdanmark'!H73+'Resultater - Østdanmark'!H73</f>
        <v>0</v>
      </c>
      <c r="I73" s="278">
        <f>'Resultater - Vestdanmark'!I73+'Resultater - Østdanmark'!I73</f>
        <v>0</v>
      </c>
      <c r="J73" s="279">
        <f>'Resultater - Vestdanmark'!J73+'Resultater - Østdanmark'!J73</f>
        <v>0</v>
      </c>
    </row>
    <row r="74" spans="1:10" hidden="1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7">
        <f>'Resultater - Vestdanmark'!H74+'Resultater - Østdanmark'!H74</f>
        <v>16367972</v>
      </c>
      <c r="I74" s="278">
        <f>'Resultater - Vestdanmark'!I74+'Resultater - Østdanmark'!I74</f>
        <v>8950449.5789842661</v>
      </c>
      <c r="J74" s="279">
        <f>'Resultater - Vestdanmark'!J74+'Resultater - Østdanmark'!J74</f>
        <v>4262118.8471353659</v>
      </c>
    </row>
    <row r="75" spans="1:10" hidden="1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7">
        <f>'Resultater - Vestdanmark'!H75+'Resultater - Østdanmark'!H75</f>
        <v>17657000</v>
      </c>
      <c r="I75" s="278">
        <f>'Resultater - Vestdanmark'!I75+'Resultater - Østdanmark'!I75</f>
        <v>9655324.9367805123</v>
      </c>
      <c r="J75" s="279">
        <f>'Resultater - Vestdanmark'!J75+'Resultater - Østdanmark'!J75</f>
        <v>4597773.7794192918</v>
      </c>
    </row>
    <row r="76" spans="1:10" hidden="1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7">
        <f>'Resultater - Vestdanmark'!H76+'Resultater - Østdanmark'!H76</f>
        <v>2263500</v>
      </c>
      <c r="I76" s="278">
        <f>'Resultater - Vestdanmark'!I76+'Resultater - Østdanmark'!I76</f>
        <v>1237742.9911311485</v>
      </c>
      <c r="J76" s="279">
        <f>'Resultater - Vestdanmark'!J76+'Resultater - Østdanmark'!J76</f>
        <v>589401.4243481661</v>
      </c>
    </row>
    <row r="77" spans="1:10" hidden="1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7">
        <f>'Resultater - Vestdanmark'!H77+'Resultater - Østdanmark'!H77</f>
        <v>185011.20708453766</v>
      </c>
      <c r="I77" s="278">
        <f>'Resultater - Vestdanmark'!I77+'Resultater - Østdanmark'!I77</f>
        <v>101169.12959999999</v>
      </c>
      <c r="J77" s="279">
        <f>'Resultater - Vestdanmark'!J77+'Resultater - Østdanmark'!J77</f>
        <v>48175.775999999998</v>
      </c>
    </row>
    <row r="78" spans="1:10" hidden="1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7">
        <f>'Resultater - Vestdanmark'!H78+'Resultater - Østdanmark'!H78</f>
        <v>-10101447931.960001</v>
      </c>
      <c r="I78" s="278">
        <f>'Resultater - Vestdanmark'!I78+'Resultater - Østdanmark'!I78</f>
        <v>-5523744810.2759991</v>
      </c>
      <c r="J78" s="279">
        <f>'Resultater - Vestdanmark'!J78+'Resultater - Østdanmark'!J78</f>
        <v>-2630354671.5600004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7">
        <f>'Resultater - Vestdanmark'!H79+'Resultater - Østdanmark'!H79</f>
        <v>-775790.06759999995</v>
      </c>
      <c r="I79" s="278">
        <f>'Resultater - Vestdanmark'!I79+'Resultater - Østdanmark'!I79</f>
        <v>-424222.98155999993</v>
      </c>
      <c r="J79" s="279">
        <f>'Resultater - Vestdanmark'!J79+'Resultater - Østdanmark'!J79</f>
        <v>-202010.9436</v>
      </c>
    </row>
    <row r="80" spans="1:10" hidden="1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7">
        <f>'Resultater - Vestdanmark'!H80+'Resultater - Østdanmark'!H80</f>
        <v>1322792.8112606632</v>
      </c>
      <c r="I80" s="278">
        <f>'Resultater - Vestdanmark'!I80+'Resultater - Østdanmark'!I80</f>
        <v>723338.86938659335</v>
      </c>
      <c r="J80" s="279">
        <f>'Resultater - Vestdanmark'!J80+'Resultater - Østdanmark'!J80</f>
        <v>344447.08066028252</v>
      </c>
    </row>
    <row r="81" spans="1:10" hidden="1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7">
        <f>'Resultater - Vestdanmark'!H81+'Resultater - Østdanmark'!H81</f>
        <v>232028</v>
      </c>
      <c r="I81" s="278">
        <f>'Resultater - Vestdanmark'!I81+'Resultater - Østdanmark'!I81</f>
        <v>1307910.9313246042</v>
      </c>
      <c r="J81" s="279">
        <f>'Resultater - Vestdanmark'!J81+'Resultater - Østdanmark'!J81</f>
        <v>1453234.368138449</v>
      </c>
    </row>
    <row r="82" spans="1:10" hidden="1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7">
        <f>'Resultater - Vestdanmark'!H82+'Resultater - Østdanmark'!H82</f>
        <v>0</v>
      </c>
      <c r="I82" s="278">
        <f>'Resultater - Vestdanmark'!I82+'Resultater - Østdanmark'!I82</f>
        <v>0</v>
      </c>
      <c r="J82" s="279">
        <f>'Resultater - Vestdanmark'!J82+'Resultater - Østdanmark'!J82</f>
        <v>0</v>
      </c>
    </row>
    <row r="83" spans="1:10" hidden="1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7">
        <f>'Resultater - Vestdanmark'!H83+'Resultater - Østdanmark'!H83</f>
        <v>251500.00000000003</v>
      </c>
      <c r="I83" s="278">
        <f>'Resultater - Vestdanmark'!I83+'Resultater - Østdanmark'!I83</f>
        <v>1417672.0017762422</v>
      </c>
      <c r="J83" s="279">
        <f>'Resultater - Vestdanmark'!J83+'Resultater - Østdanmark'!J83</f>
        <v>1575191.1130847137</v>
      </c>
    </row>
    <row r="84" spans="1:10" hidden="1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7">
        <f>'Resultater - Vestdanmark'!H84+'Resultater - Østdanmark'!H84</f>
        <v>7691.8969154623392</v>
      </c>
      <c r="I84" s="278">
        <f>'Resultater - Vestdanmark'!I84+'Resultater - Østdanmark'!I84</f>
        <v>43358.198399999994</v>
      </c>
      <c r="J84" s="279">
        <f>'Resultater - Vestdanmark'!J84+'Resultater - Østdanmark'!J84</f>
        <v>48175.775999999998</v>
      </c>
    </row>
    <row r="85" spans="1:10" hidden="1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7">
        <f>'Resultater - Vestdanmark'!H85+'Resultater - Østdanmark'!H85</f>
        <v>-419970754.27999997</v>
      </c>
      <c r="I85" s="278">
        <f>'Resultater - Vestdanmark'!I85+'Resultater - Østdanmark'!I85</f>
        <v>-2367319204.4039998</v>
      </c>
      <c r="J85" s="279">
        <f>'Resultater - Vestdanmark'!J85+'Resultater - Østdanmark'!J85</f>
        <v>-2630354671.5600004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7">
        <f>'Resultater - Vestdanmark'!H86+'Resultater - Østdanmark'!H86</f>
        <v>-28350.861000000001</v>
      </c>
      <c r="I86" s="278">
        <f>'Resultater - Vestdanmark'!I86+'Resultater - Østdanmark'!I86</f>
        <v>-159810.02729999999</v>
      </c>
      <c r="J86" s="279">
        <f>'Resultater - Vestdanmark'!J86+'Resultater - Østdanmark'!J86</f>
        <v>-177566.69700000001</v>
      </c>
    </row>
    <row r="87" spans="1:10" hidden="1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7">
        <f>'Resultater - Vestdanmark'!H87+'Resultater - Østdanmark'!H87</f>
        <v>60495.062518513841</v>
      </c>
      <c r="I87" s="278">
        <f>'Resultater - Vestdanmark'!I87+'Resultater - Østdanmark'!I87</f>
        <v>341002.60985367966</v>
      </c>
      <c r="J87" s="279">
        <f>'Resultater - Vestdanmark'!J87+'Resultater - Østdanmark'!J87</f>
        <v>378891.78872631083</v>
      </c>
    </row>
    <row r="88" spans="1:10" hidden="1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7">
        <f>'Resultater - Vestdanmark'!H88+'Resultater - Østdanmark'!H88</f>
        <v>440600</v>
      </c>
      <c r="I88" s="278">
        <f>'Resultater - Vestdanmark'!I88+'Resultater - Østdanmark'!I88</f>
        <v>272271.28831237706</v>
      </c>
      <c r="J88" s="279">
        <f>'Resultater - Vestdanmark'!J88+'Resultater - Østdanmark'!J88</f>
        <v>129652.99443446528</v>
      </c>
    </row>
    <row r="89" spans="1:10" hidden="1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7">
        <f>'Resultater - Vestdanmark'!H89+'Resultater - Østdanmark'!H89</f>
        <v>12785500</v>
      </c>
      <c r="I89" s="278">
        <f>'Resultater - Vestdanmark'!I89+'Resultater - Østdanmark'!I89</f>
        <v>7900872.8023556443</v>
      </c>
      <c r="J89" s="279">
        <f>'Resultater - Vestdanmark'!J89+'Resultater - Østdanmark'!J89</f>
        <v>3762320.3820741163</v>
      </c>
    </row>
    <row r="90" spans="1:10" hidden="1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7">
        <f>'Resultater - Vestdanmark'!H90+'Resultater - Østdanmark'!H90</f>
        <v>250560.00000000003</v>
      </c>
      <c r="I90" s="278">
        <f>'Resultater - Vestdanmark'!I90+'Resultater - Østdanmark'!I90</f>
        <v>154834.98411155061</v>
      </c>
      <c r="J90" s="279">
        <f>'Resultater - Vestdanmark'!J90+'Resultater - Østdanmark'!J90</f>
        <v>73730.944815024108</v>
      </c>
    </row>
    <row r="91" spans="1:10" hidden="1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7">
        <f>'Resultater - Vestdanmark'!H91+'Resultater - Østdanmark'!H91</f>
        <v>4786000</v>
      </c>
      <c r="I91" s="278">
        <f>'Resultater - Vestdanmark'!I91+'Resultater - Østdanmark'!I91</f>
        <v>2957536.055068172</v>
      </c>
      <c r="J91" s="279">
        <f>'Resultater - Vestdanmark'!J91+'Resultater - Østdanmark'!J91</f>
        <v>1408350.5024134154</v>
      </c>
    </row>
    <row r="92" spans="1:10" hidden="1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7">
        <f>'Resultater - Vestdanmark'!H92+'Resultater - Østdanmark'!H92</f>
        <v>54522.149641311174</v>
      </c>
      <c r="I92" s="278">
        <f>'Resultater - Vestdanmark'!I92+'Resultater - Østdanmark'!I92</f>
        <v>33692.274000000005</v>
      </c>
      <c r="J92" s="279">
        <f>'Resultater - Vestdanmark'!J92+'Resultater - Østdanmark'!J92</f>
        <v>16043.94</v>
      </c>
    </row>
    <row r="93" spans="1:10" hidden="1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7">
        <f>'Resultater - Vestdanmark'!H93+'Resultater - Østdanmark'!H93</f>
        <v>-3317225912</v>
      </c>
      <c r="I93" s="278">
        <f>'Resultater - Vestdanmark'!I93+'Resultater - Østdanmark'!I93</f>
        <v>-2049898712.3999999</v>
      </c>
      <c r="J93" s="279">
        <f>'Resultater - Vestdanmark'!J93+'Resultater - Østdanmark'!J93</f>
        <v>-976142244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7">
        <f>'Resultater - Vestdanmark'!H94+'Resultater - Østdanmark'!H94</f>
        <v>-13874.569799999999</v>
      </c>
      <c r="I94" s="278">
        <f>'Resultater - Vestdanmark'!I94+'Resultater - Østdanmark'!I94</f>
        <v>-8573.869709999999</v>
      </c>
      <c r="J94" s="279">
        <f>'Resultater - Vestdanmark'!J94+'Resultater - Østdanmark'!J94</f>
        <v>-4082.7950999999998</v>
      </c>
    </row>
    <row r="95" spans="1:10" hidden="1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7">
        <f>'Resultater - Vestdanmark'!H95+'Resultater - Østdanmark'!H95</f>
        <v>3588024.4873487833</v>
      </c>
      <c r="I95" s="278">
        <f>'Resultater - Vestdanmark'!I95+'Resultater - Østdanmark'!I95</f>
        <v>2217240.2398248059</v>
      </c>
      <c r="J95" s="279">
        <f>'Resultater - Vestdanmark'!J95+'Resultater - Østdanmark'!J95</f>
        <v>1055828.68563086</v>
      </c>
    </row>
    <row r="96" spans="1:10" hidden="1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7">
        <f>'Resultater - Vestdanmark'!H96+'Resultater - Østdanmark'!H96</f>
        <v>23400.000000000004</v>
      </c>
      <c r="I96" s="278">
        <f>'Resultater - Vestdanmark'!I96+'Resultater - Østdanmark'!I96</f>
        <v>35000.933727958349</v>
      </c>
      <c r="J96" s="279">
        <f>'Resultater - Vestdanmark'!J96+'Resultater - Østdanmark'!J96</f>
        <v>38889.926364398169</v>
      </c>
    </row>
    <row r="97" spans="1:10" hidden="1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7">
        <f>'Resultater - Vestdanmark'!H97+'Resultater - Østdanmark'!H97</f>
        <v>1264500</v>
      </c>
      <c r="I97" s="278">
        <f>'Resultater - Vestdanmark'!I97+'Resultater - Østdanmark'!I97</f>
        <v>1891396.6110685184</v>
      </c>
      <c r="J97" s="279">
        <f>'Resultater - Vestdanmark'!J97+'Resultater - Østdanmark'!J97</f>
        <v>2101551.7900761319</v>
      </c>
    </row>
    <row r="98" spans="1:10" hidden="1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7">
        <f>'Resultater - Vestdanmark'!H98+'Resultater - Østdanmark'!H98</f>
        <v>10440.000000000002</v>
      </c>
      <c r="I98" s="278">
        <f>'Resultater - Vestdanmark'!I98+'Resultater - Østdanmark'!I98</f>
        <v>15615.801201704495</v>
      </c>
      <c r="J98" s="279">
        <f>'Resultater - Vestdanmark'!J98+'Resultater - Østdanmark'!J98</f>
        <v>17350.890224116105</v>
      </c>
    </row>
    <row r="99" spans="1:10" hidden="1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7">
        <f>'Resultater - Vestdanmark'!H99+'Resultater - Østdanmark'!H99</f>
        <v>482999.99999999994</v>
      </c>
      <c r="I99" s="278">
        <f>'Resultater - Vestdanmark'!I99+'Resultater - Østdanmark'!I99</f>
        <v>722455.17053862743</v>
      </c>
      <c r="J99" s="279">
        <f>'Resultater - Vestdanmark'!J99+'Resultater - Østdanmark'!J99</f>
        <v>802727.96726514166</v>
      </c>
    </row>
    <row r="100" spans="1:10" hidden="1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7">
        <f>'Resultater - Vestdanmark'!H100+'Resultater - Østdanmark'!H100</f>
        <v>9653.6103586888312</v>
      </c>
      <c r="I100" s="278">
        <f>'Resultater - Vestdanmark'!I100+'Resultater - Østdanmark'!I100</f>
        <v>14439.546</v>
      </c>
      <c r="J100" s="279">
        <f>'Resultater - Vestdanmark'!J100+'Resultater - Østdanmark'!J100</f>
        <v>16043.94</v>
      </c>
    </row>
    <row r="101" spans="1:10" hidden="1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7">
        <f>'Resultater - Vestdanmark'!H101+'Resultater - Østdanmark'!H101</f>
        <v>-587343064</v>
      </c>
      <c r="I101" s="278">
        <f>'Resultater - Vestdanmark'!I101+'Resultater - Østdanmark'!I101</f>
        <v>-878528019.5999999</v>
      </c>
      <c r="J101" s="279">
        <f>'Resultater - Vestdanmark'!J101+'Resultater - Østdanmark'!J101</f>
        <v>-976142244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7">
        <f>'Resultater - Vestdanmark'!H102+'Resultater - Østdanmark'!H102</f>
        <v>-2961.3935999999999</v>
      </c>
      <c r="I102" s="278">
        <f>'Resultater - Vestdanmark'!I102+'Resultater - Østdanmark'!I102</f>
        <v>-4429.5530399999989</v>
      </c>
      <c r="J102" s="279">
        <f>'Resultater - Vestdanmark'!J102+'Resultater - Østdanmark'!J102</f>
        <v>-4921.7255999999998</v>
      </c>
    </row>
    <row r="103" spans="1:10" hidden="1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7">
        <f>'Resultater - Vestdanmark'!H103+'Resultater - Østdanmark'!H103</f>
        <v>531260.59557996574</v>
      </c>
      <c r="I103" s="278">
        <f>'Resultater - Vestdanmark'!I103+'Resultater - Østdanmark'!I103</f>
        <v>794641.74778504542</v>
      </c>
      <c r="J103" s="279">
        <f>'Resultater - Vestdanmark'!J103+'Resultater - Østdanmark'!J103</f>
        <v>882935.27531671722</v>
      </c>
    </row>
    <row r="104" spans="1:10" hidden="1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7">
        <f>'Resultater - Vestdanmark'!H104+'Resultater - Østdanmark'!H104</f>
        <v>105566999.99999999</v>
      </c>
      <c r="I104" s="278">
        <f>'Resultater - Vestdanmark'!I104+'Resultater - Østdanmark'!I104</f>
        <v>86139043.255343542</v>
      </c>
      <c r="J104" s="279">
        <f>'Resultater - Vestdanmark'!J104+'Resultater - Østdanmark'!J104</f>
        <v>61527888.039531112</v>
      </c>
    </row>
    <row r="105" spans="1:10" hidden="1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7">
        <f>'Resultater - Vestdanmark'!H105+'Resultater - Østdanmark'!H105</f>
        <v>6719.2238038686164</v>
      </c>
      <c r="I105" s="278">
        <f>'Resultater - Vestdanmark'!I105+'Resultater - Østdanmark'!I105</f>
        <v>5482.6556583380489</v>
      </c>
      <c r="J105" s="279">
        <f>'Resultater - Vestdanmark'!J105+'Resultater - Østdanmark'!J105</f>
        <v>3916.1826130986069</v>
      </c>
    </row>
    <row r="106" spans="1:10" hidden="1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7">
        <f>'Resultater - Vestdanmark'!H106+'Resultater - Østdanmark'!H106</f>
        <v>148922.51453359297</v>
      </c>
      <c r="I106" s="278">
        <f>'Resultater - Vestdanmark'!I106+'Resultater - Østdanmark'!I106</f>
        <v>121515.65281862412</v>
      </c>
      <c r="J106" s="279">
        <f>'Resultater - Vestdanmark'!J106+'Resultater - Østdanmark'!J106</f>
        <v>86796.894870445816</v>
      </c>
    </row>
    <row r="107" spans="1:10" hidden="1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7">
        <f>'Resultater - Vestdanmark'!H107+'Resultater - Østdanmark'!H107</f>
        <v>220000</v>
      </c>
      <c r="I107" s="278">
        <f>'Resultater - Vestdanmark'!I107+'Resultater - Østdanmark'!I107</f>
        <v>179512.43775209659</v>
      </c>
      <c r="J107" s="279">
        <f>'Resultater - Vestdanmark'!J107+'Resultater - Østdanmark'!J107</f>
        <v>128223.16982292615</v>
      </c>
    </row>
    <row r="108" spans="1:10" hidden="1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7">
        <f>'Resultater - Vestdanmark'!H108+'Resultater - Østdanmark'!H108</f>
        <v>9291.4831667730468</v>
      </c>
      <c r="I108" s="278">
        <f>'Resultater - Vestdanmark'!I108+'Resultater - Østdanmark'!I108</f>
        <v>7581.5308799999993</v>
      </c>
      <c r="J108" s="279">
        <f>'Resultater - Vestdanmark'!J108+'Resultater - Østdanmark'!J108</f>
        <v>5415.3792000000003</v>
      </c>
    </row>
    <row r="109" spans="1:10" hidden="1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7">
        <f>'Resultater - Vestdanmark'!H109+'Resultater - Østdanmark'!H109</f>
        <v>-365582337.12</v>
      </c>
      <c r="I109" s="278">
        <f>'Resultater - Vestdanmark'!I109+'Resultater - Østdanmark'!I109</f>
        <v>-298302620.616</v>
      </c>
      <c r="J109" s="279">
        <f>'Resultater - Vestdanmark'!J109+'Resultater - Østdanmark'!J109</f>
        <v>-213073300.44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7">
        <f>'Resultater - Vestdanmark'!H110+'Resultater - Østdanmark'!H110</f>
        <v>-8664.776171999998</v>
      </c>
      <c r="I110" s="278">
        <f>'Resultater - Vestdanmark'!I110+'Resultater - Østdanmark'!I110</f>
        <v>-7070.1595145999991</v>
      </c>
      <c r="J110" s="279">
        <f>'Resultater - Vestdanmark'!J110+'Resultater - Østdanmark'!J110</f>
        <v>-5050.1139389999998</v>
      </c>
    </row>
    <row r="111" spans="1:10" hidden="1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7">
        <f>'Resultater - Vestdanmark'!H111+'Resultater - Østdanmark'!H111</f>
        <v>14116.474844810102</v>
      </c>
      <c r="I111" s="278">
        <f>'Resultater - Vestdanmark'!I111+'Resultater - Østdanmark'!I111</f>
        <v>11518.55823571823</v>
      </c>
      <c r="J111" s="279">
        <f>'Resultater - Vestdanmark'!J111+'Resultater - Østdanmark'!J111</f>
        <v>8227.5415969415935</v>
      </c>
    </row>
    <row r="112" spans="1:10" hidden="1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7">
        <f>'Resultater - Vestdanmark'!H112+'Resultater - Østdanmark'!H112</f>
        <v>1224707</v>
      </c>
      <c r="I112" s="278">
        <f>'Resultater - Vestdanmark'!I112+'Resultater - Østdanmark'!I112</f>
        <v>2585211.2750455178</v>
      </c>
      <c r="J112" s="279">
        <f>'Resultater - Vestdanmark'!J112+'Resultater - Østdanmark'!J112</f>
        <v>4308685.4584091967</v>
      </c>
    </row>
    <row r="113" spans="1:10" hidden="1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7">
        <f>'Resultater - Vestdanmark'!H113+'Resultater - Østdanmark'!H113</f>
        <v>2163.7761961313831</v>
      </c>
      <c r="I113" s="278">
        <f>'Resultater - Vestdanmark'!I113+'Resultater - Østdanmark'!I113</f>
        <v>4567.4750115039378</v>
      </c>
      <c r="J113" s="279">
        <f>'Resultater - Vestdanmark'!J113+'Resultater - Østdanmark'!J113</f>
        <v>7612.4583525065636</v>
      </c>
    </row>
    <row r="114" spans="1:10" hidden="1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7">
        <f>'Resultater - Vestdanmark'!H114+'Resultater - Østdanmark'!H114</f>
        <v>8147.4854664070526</v>
      </c>
      <c r="I114" s="278">
        <f>'Resultater - Vestdanmark'!I114+'Resultater - Østdanmark'!I114</f>
        <v>17198.375849101052</v>
      </c>
      <c r="J114" s="279">
        <f>'Resultater - Vestdanmark'!J114+'Resultater - Østdanmark'!J114</f>
        <v>28663.959748501751</v>
      </c>
    </row>
    <row r="115" spans="1:10" hidden="1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7">
        <f>'Resultater - Vestdanmark'!H115+'Resultater - Østdanmark'!H115</f>
        <v>15000</v>
      </c>
      <c r="I115" s="278">
        <f>'Resultater - Vestdanmark'!I115+'Resultater - Østdanmark'!I115</f>
        <v>31663.221591517617</v>
      </c>
      <c r="J115" s="279">
        <f>'Resultater - Vestdanmark'!J115+'Resultater - Østdanmark'!J115</f>
        <v>52772.035985862691</v>
      </c>
    </row>
    <row r="116" spans="1:10" hidden="1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7">
        <f>'Resultater - Vestdanmark'!H116+'Resultater - Østdanmark'!H116</f>
        <v>1539.2752332269538</v>
      </c>
      <c r="I116" s="278">
        <f>'Resultater - Vestdanmark'!I116+'Resultater - Østdanmark'!I116</f>
        <v>3249.2275200000004</v>
      </c>
      <c r="J116" s="279">
        <f>'Resultater - Vestdanmark'!J116+'Resultater - Østdanmark'!J116</f>
        <v>5415.3792000000003</v>
      </c>
    </row>
    <row r="117" spans="1:10" hidden="1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7">
        <f>'Resultater - Vestdanmark'!H117+'Resultater - Østdanmark'!H117</f>
        <v>-60564263.759999998</v>
      </c>
      <c r="I117" s="278">
        <f>'Resultater - Vestdanmark'!I117+'Resultater - Østdanmark'!I117</f>
        <v>-127843980.26400001</v>
      </c>
      <c r="J117" s="279">
        <f>'Resultater - Vestdanmark'!J117+'Resultater - Østdanmark'!J117</f>
        <v>-213073300.44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7">
        <f>'Resultater - Vestdanmark'!H118+'Resultater - Østdanmark'!H118</f>
        <v>-2703.7617749999999</v>
      </c>
      <c r="I118" s="278">
        <f>'Resultater - Vestdanmark'!I118+'Resultater - Østdanmark'!I118</f>
        <v>-5707.3205475000004</v>
      </c>
      <c r="J118" s="279">
        <f>'Resultater - Vestdanmark'!J118+'Resultater - Østdanmark'!J118</f>
        <v>-9512.2009125000004</v>
      </c>
    </row>
    <row r="119" spans="1:10" hidden="1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7">
        <f>'Resultater - Vestdanmark'!H119+'Resultater - Østdanmark'!H119</f>
        <v>2572.4691839803959</v>
      </c>
      <c r="I119" s="278">
        <f>'Resultater - Vestdanmark'!I119+'Resultater - Østdanmark'!I119</f>
        <v>5430.1774539814523</v>
      </c>
      <c r="J119" s="279">
        <f>'Resultater - Vestdanmark'!J119+'Resultater - Østdanmark'!J119</f>
        <v>9050.2957566357527</v>
      </c>
    </row>
    <row r="120" spans="1:10" hidden="1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7">
        <f>'Resultater - Vestdanmark'!H120+'Resultater - Østdanmark'!H120</f>
        <v>8030838.3925888147</v>
      </c>
      <c r="I120" s="278">
        <f>'Resultater - Vestdanmark'!I120+'Resultater - Østdanmark'!I120</f>
        <v>4523095.539737599</v>
      </c>
      <c r="J120" s="279">
        <f>'Resultater - Vestdanmark'!J120+'Resultater - Østdanmark'!J120</f>
        <v>2855046.5283839996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7">
        <f>'Resultater - Vestdanmark'!H121+'Resultater - Østdanmark'!H121</f>
        <v>2621245.5742450082</v>
      </c>
      <c r="I121" s="278">
        <f>'Resultater - Vestdanmark'!I121+'Resultater - Østdanmark'!I121</f>
        <v>1862295.9830705996</v>
      </c>
      <c r="J121" s="279">
        <f>'Resultater - Vestdanmark'!J121+'Resultater - Østdanmark'!J121</f>
        <v>1450161.2264040001</v>
      </c>
    </row>
    <row r="122" spans="1:10" hidden="1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7">
        <f>'Resultater - Vestdanmark'!H122+'Resultater - Østdanmark'!H122</f>
        <v>-183300163.02627823</v>
      </c>
      <c r="I122" s="278">
        <f>'Resultater - Vestdanmark'!I122+'Resultater - Østdanmark'!I122</f>
        <v>-96303692.799999982</v>
      </c>
      <c r="J122" s="279">
        <f>'Resultater - Vestdanmark'!J122+'Resultater - Østdanmark'!J122</f>
        <v>-60788352</v>
      </c>
    </row>
    <row r="123" spans="1:10" hidden="1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7">
        <f>'Resultater - Vestdanmark'!H123+'Resultater - Østdanmark'!H123</f>
        <v>2604803.426450097</v>
      </c>
      <c r="I123" s="278">
        <f>'Resultater - Vestdanmark'!I123+'Resultater - Østdanmark'!I123</f>
        <v>1368532.2742963128</v>
      </c>
      <c r="J123" s="279">
        <f>'Resultater - Vestdanmark'!J123+'Resultater - Østdanmark'!J123</f>
        <v>863838.33469452197</v>
      </c>
    </row>
    <row r="124" spans="1:10" hidden="1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7">
        <f>'Resultater - Vestdanmark'!H124+'Resultater - Østdanmark'!H124</f>
        <v>225935.04552207049</v>
      </c>
      <c r="I124" s="278">
        <f>'Resultater - Vestdanmark'!I124+'Resultater - Østdanmark'!I124</f>
        <v>149834.47758969583</v>
      </c>
      <c r="J124" s="279">
        <f>'Resultater - Vestdanmark'!J124+'Resultater - Østdanmark'!J124</f>
        <v>2.718707180041481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7">
        <f>'Resultater - Vestdanmark'!H125+'Resultater - Østdanmark'!H125</f>
        <v>73744.634020790007</v>
      </c>
      <c r="I125" s="278">
        <f>'Resultater - Vestdanmark'!I125+'Resultater - Østdanmark'!I125</f>
        <v>61691.410957231332</v>
      </c>
      <c r="J125" s="279">
        <f>'Resultater - Vestdanmark'!J125+'Resultater - Østdanmark'!J125</f>
        <v>1.3809105032953233</v>
      </c>
    </row>
    <row r="126" spans="1:10" hidden="1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7">
        <f>'Resultater - Vestdanmark'!H126+'Resultater - Østdanmark'!H126</f>
        <v>-3491625.762942126</v>
      </c>
      <c r="I126" s="278">
        <f>'Resultater - Vestdanmark'!I126+'Resultater - Østdanmark'!I126</f>
        <v>-2160036.356051906</v>
      </c>
      <c r="J126" s="279">
        <f>'Resultater - Vestdanmark'!J126+'Resultater - Østdanmark'!J126</f>
        <v>-39.193291456123511</v>
      </c>
    </row>
    <row r="127" spans="1:10" hidden="1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7">
        <f>'Resultater - Vestdanmark'!H127+'Resultater - Østdanmark'!H127</f>
        <v>429515.47728160548</v>
      </c>
      <c r="I127" s="278">
        <f>'Resultater - Vestdanmark'!I127+'Resultater - Østdanmark'!I127</f>
        <v>265712.6248356853</v>
      </c>
      <c r="J127" s="279">
        <f>'Resultater - Vestdanmark'!J127+'Resultater - Østdanmark'!J127</f>
        <v>4.821285678631587</v>
      </c>
    </row>
    <row r="128" spans="1:10" hidden="1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7">
        <f>'Resultater - Vestdanmark'!H128+'Resultater - Østdanmark'!H128</f>
        <v>134184.5342649988</v>
      </c>
      <c r="I128" s="278">
        <f>'Resultater - Vestdanmark'!I128+'Resultater - Østdanmark'!I128</f>
        <v>2.9159868005304856</v>
      </c>
      <c r="J128" s="279">
        <f>'Resultater - Vestdanmark'!J128+'Resultater - Østdanmark'!J128</f>
        <v>2.0828477146646325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7">
        <f>'Resultater - Vestdanmark'!H129+'Resultater - Østdanmark'!H129</f>
        <v>43797.49652275996</v>
      </c>
      <c r="I129" s="278">
        <f>'Resultater - Vestdanmark'!I129+'Resultater - Østdanmark'!I129</f>
        <v>1.2006004422426708</v>
      </c>
      <c r="J129" s="279">
        <f>'Resultater - Vestdanmark'!J129+'Resultater - Østdanmark'!J129</f>
        <v>1.0579389744728476</v>
      </c>
    </row>
    <row r="130" spans="1:10" hidden="1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7">
        <f>'Resultater - Vestdanmark'!H130+'Resultater - Østdanmark'!H130</f>
        <v>-1367276.6890666278</v>
      </c>
      <c r="I130" s="278">
        <f>'Resultater - Vestdanmark'!I130+'Resultater - Østdanmark'!I130</f>
        <v>-27.716903818966415</v>
      </c>
      <c r="J130" s="279">
        <f>'Resultater - Vestdanmark'!J130+'Resultater - Østdanmark'!J130</f>
        <v>-19.797788442118865</v>
      </c>
    </row>
    <row r="131" spans="1:10" hidden="1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7">
        <f>'Resultater - Vestdanmark'!H131+'Resultater - Østdanmark'!H131</f>
        <v>559922.97086443973</v>
      </c>
      <c r="I131" s="278">
        <f>'Resultater - Vestdanmark'!I131+'Resultater - Østdanmark'!I131</f>
        <v>11.350541740073028</v>
      </c>
      <c r="J131" s="279">
        <f>'Resultater - Vestdanmark'!J131+'Resultater - Østdanmark'!J131</f>
        <v>8.1075298143378767</v>
      </c>
    </row>
    <row r="132" spans="1:10" hidden="1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7">
        <f>'Resultater - Vestdanmark'!H132+'Resultater - Østdanmark'!H132</f>
        <v>687979.55575600604</v>
      </c>
      <c r="I132" s="278">
        <f>'Resultater - Vestdanmark'!I132+'Resultater - Østdanmark'!I132</f>
        <v>1298774.5764103679</v>
      </c>
      <c r="J132" s="279">
        <f>'Resultater - Vestdanmark'!J132+'Resultater - Østdanmark'!J132</f>
        <v>1912881.1740172799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7">
        <f>'Resultater - Vestdanmark'!H133+'Resultater - Østdanmark'!H133</f>
        <v>224554.80704987101</v>
      </c>
      <c r="I133" s="278">
        <f>'Resultater - Vestdanmark'!I133+'Resultater - Østdanmark'!I133</f>
        <v>534744.98942455789</v>
      </c>
      <c r="J133" s="279">
        <f>'Resultater - Vestdanmark'!J133+'Resultater - Østdanmark'!J133</f>
        <v>971608.02169068006</v>
      </c>
    </row>
    <row r="134" spans="1:10" hidden="1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7">
        <f>'Resultater - Vestdanmark'!H134+'Resultater - Østdanmark'!H134</f>
        <v>-15702814.396713404</v>
      </c>
      <c r="I134" s="278">
        <f>'Resultater - Vestdanmark'!I134+'Resultater - Østdanmark'!I134</f>
        <v>-27652917.504000001</v>
      </c>
      <c r="J134" s="279">
        <f>'Resultater - Vestdanmark'!J134+'Resultater - Østdanmark'!J134</f>
        <v>-40728195.840000004</v>
      </c>
    </row>
    <row r="135" spans="1:10" hidden="1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7">
        <f>'Resultater - Vestdanmark'!H135+'Resultater - Østdanmark'!H135</f>
        <v>333054.11051750812</v>
      </c>
      <c r="I135" s="278">
        <f>'Resultater - Vestdanmark'!I135+'Resultater - Østdanmark'!I135</f>
        <v>586513.83184127696</v>
      </c>
      <c r="J135" s="279">
        <f>'Resultater - Vestdanmark'!J135+'Resultater - Østdanmark'!J135</f>
        <v>863838.33469452197</v>
      </c>
    </row>
    <row r="136" spans="1:10" hidden="1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7">
        <f>'Resultater - Vestdanmark'!H136+'Resultater - Østdanmark'!H136</f>
        <v>19355.226023653049</v>
      </c>
      <c r="I136" s="278">
        <f>'Resultater - Vestdanmark'!I136+'Resultater - Østdanmark'!I136</f>
        <v>43023.899993612664</v>
      </c>
      <c r="J136" s="279">
        <f>'Resultater - Vestdanmark'!J136+'Resultater - Østdanmark'!J136</f>
        <v>1.8215338106277923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7">
        <f>'Resultater - Vestdanmark'!H137+'Resultater - Østdanmark'!H137</f>
        <v>6317.4973860552982</v>
      </c>
      <c r="I137" s="278">
        <f>'Resultater - Vestdanmark'!I137+'Resultater - Østdanmark'!I137</f>
        <v>17714.248003433571</v>
      </c>
      <c r="J137" s="279">
        <f>'Resultater - Vestdanmark'!J137+'Resultater - Østdanmark'!J137</f>
        <v>0.92521003720786665</v>
      </c>
    </row>
    <row r="138" spans="1:10" hidden="1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7">
        <f>'Resultater - Vestdanmark'!H138+'Resultater - Østdanmark'!H138</f>
        <v>-299117.85343258409</v>
      </c>
      <c r="I138" s="278">
        <f>'Resultater - Vestdanmark'!I138+'Resultater - Østdanmark'!I138</f>
        <v>-620239.01080919034</v>
      </c>
      <c r="J138" s="279">
        <f>'Resultater - Vestdanmark'!J138+'Resultater - Østdanmark'!J138</f>
        <v>-26.259505275602752</v>
      </c>
    </row>
    <row r="139" spans="1:10" hidden="1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7">
        <f>'Resultater - Vestdanmark'!H139+'Resultater - Østdanmark'!H139</f>
        <v>54918.499333549895</v>
      </c>
      <c r="I139" s="278">
        <f>'Resultater - Vestdanmark'!I139+'Resultater - Østdanmark'!I139</f>
        <v>113876.8392152937</v>
      </c>
      <c r="J139" s="279">
        <f>'Resultater - Vestdanmark'!J139+'Resultater - Østdanmark'!J139</f>
        <v>4.821285678631587</v>
      </c>
    </row>
    <row r="140" spans="1:10" hidden="1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7">
        <f>'Resultater - Vestdanmark'!H140+'Resultater - Østdanmark'!H140</f>
        <v>11495.215288873653</v>
      </c>
      <c r="I140" s="278">
        <f>'Resultater - Vestdanmark'!I140+'Resultater - Østdanmark'!I140</f>
        <v>0.83730478129518238</v>
      </c>
      <c r="J140" s="279">
        <f>'Resultater - Vestdanmark'!J140+'Resultater - Østdanmark'!J140</f>
        <v>1.395507968825304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7">
        <f>'Resultater - Vestdanmark'!H141+'Resultater - Østdanmark'!H141</f>
        <v>3752.0095322501388</v>
      </c>
      <c r="I141" s="278">
        <f>'Resultater - Vestdanmark'!I141+'Resultater - Østdanmark'!I141</f>
        <v>0.34474384127253838</v>
      </c>
      <c r="J141" s="279">
        <f>'Resultater - Vestdanmark'!J141+'Resultater - Østdanmark'!J141</f>
        <v>0.70881911289680788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7">
        <f>'Resultater - Vestdanmark'!H142+'Resultater - Østdanmark'!H142</f>
        <v>-117130.7854990183</v>
      </c>
      <c r="I142" s="278">
        <f>'Resultater - Vestdanmark'!I142+'Resultater - Østdanmark'!I142</f>
        <v>-7.9587109537317851</v>
      </c>
      <c r="J142" s="279">
        <f>'Resultater - Vestdanmark'!J142+'Resultater - Østdanmark'!J142</f>
        <v>-13.26451825621964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7">
        <f>'Resultater - Vestdanmark'!H143+'Resultater - Østdanmark'!H143</f>
        <v>71592.598937004383</v>
      </c>
      <c r="I143" s="278">
        <f>'Resultater - Vestdanmark'!I143+'Resultater - Østdanmark'!I143</f>
        <v>4.8645178886027267</v>
      </c>
      <c r="J143" s="279">
        <f>'Resultater - Vestdanmark'!J143+'Resultater - Østdanmark'!J143</f>
        <v>8.1075298143378767</v>
      </c>
    </row>
    <row r="144" spans="1:10" hidden="1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7">
        <f>'Resultater - Vestdanmark'!H144+'Resultater - Østdanmark'!H144</f>
        <v>230147.57425814544</v>
      </c>
      <c r="I144" s="278">
        <f>'Resultater - Vestdanmark'!I144+'Resultater - Østdanmark'!I144</f>
        <v>1330192.3170948124</v>
      </c>
      <c r="J144" s="279">
        <f>'Resultater - Vestdanmark'!J144+'Resultater - Østdanmark'!J144</f>
        <v>839637.57202107087</v>
      </c>
    </row>
    <row r="145" spans="1:10" hidden="1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7">
        <f>'Resultater - Vestdanmark'!H145+'Resultater - Østdanmark'!H145</f>
        <v>-2232747.9829002842</v>
      </c>
      <c r="I145" s="278">
        <f>'Resultater - Vestdanmark'!I145+'Resultater - Østdanmark'!I145</f>
        <v>-12037961.599999998</v>
      </c>
      <c r="J145" s="279">
        <f>'Resultater - Vestdanmark'!J145+'Resultater - Østdanmark'!J145</f>
        <v>-7598544</v>
      </c>
    </row>
    <row r="146" spans="1:10" hidden="1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7">
        <f>'Resultater - Vestdanmark'!H146+'Resultater - Østdanmark'!H146</f>
        <v>25382.932563674498</v>
      </c>
      <c r="I146" s="278">
        <f>'Resultater - Vestdanmark'!I146+'Resultater - Østdanmark'!I146</f>
        <v>136853.22742963128</v>
      </c>
      <c r="J146" s="279">
        <f>'Resultater - Vestdanmark'!J146+'Resultater - Østdanmark'!J146</f>
        <v>86383.833469452205</v>
      </c>
    </row>
    <row r="147" spans="1:10" hidden="1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7">
        <f>'Resultater - Vestdanmark'!H147+'Resultater - Østdanmark'!H147</f>
        <v>2806.7295229677611</v>
      </c>
      <c r="I147" s="278">
        <f>'Resultater - Vestdanmark'!I147+'Resultater - Østdanmark'!I147</f>
        <v>1861.5470457709066</v>
      </c>
      <c r="J147" s="279">
        <f>'Resultater - Vestdanmark'!J147+'Resultater - Østdanmark'!J147</f>
        <v>3.377728144241595E-2</v>
      </c>
    </row>
    <row r="148" spans="1:10" hidden="1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7">
        <f>'Resultater - Vestdanmark'!H148+'Resultater - Østdanmark'!H148</f>
        <v>-22123.673287397512</v>
      </c>
      <c r="I148" s="278">
        <f>'Resultater - Vestdanmark'!I148+'Resultater - Østdanmark'!I148</f>
        <v>-13687.87102965872</v>
      </c>
      <c r="J148" s="279">
        <f>'Resultater - Vestdanmark'!J148+'Resultater - Østdanmark'!J148</f>
        <v>-0.24836281906848601</v>
      </c>
    </row>
    <row r="149" spans="1:10" hidden="1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7">
        <f>'Resultater - Vestdanmark'!H149+'Resultater - Østdanmark'!H149</f>
        <v>1814.3334435803249</v>
      </c>
      <c r="I149" s="278">
        <f>'Resultater - Vestdanmark'!I149+'Resultater - Østdanmark'!I149</f>
        <v>1122.5243592197987</v>
      </c>
      <c r="J149" s="279">
        <f>'Resultater - Vestdanmark'!J149+'Resultater - Østdanmark'!J149</f>
        <v>2.036790920405291E-2</v>
      </c>
    </row>
    <row r="150" spans="1:10" hidden="1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7">
        <f>'Resultater - Vestdanmark'!H150+'Resultater - Østdanmark'!H150</f>
        <v>843.56496811604438</v>
      </c>
      <c r="I150" s="278">
        <f>'Resultater - Vestdanmark'!I150+'Resultater - Østdanmark'!I150</f>
        <v>1.8366303099624299E-2</v>
      </c>
      <c r="J150" s="279">
        <f>'Resultater - Vestdanmark'!J150+'Resultater - Østdanmark'!J150</f>
        <v>1.3118787928303073E-2</v>
      </c>
    </row>
    <row r="151" spans="1:10" hidden="1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7">
        <f>'Resultater - Vestdanmark'!H151+'Resultater - Østdanmark'!H151</f>
        <v>-5553.2523541027549</v>
      </c>
      <c r="I151" s="278">
        <f>'Resultater - Vestdanmark'!I151+'Resultater - Østdanmark'!I151</f>
        <v>-0.11278616642527908</v>
      </c>
      <c r="J151" s="279">
        <f>'Resultater - Vestdanmark'!J151+'Resultater - Østdanmark'!J151</f>
        <v>-8.056154744662794E-2</v>
      </c>
    </row>
    <row r="152" spans="1:10" hidden="1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7">
        <f>'Resultater - Vestdanmark'!H152+'Resultater - Østdanmark'!H152</f>
        <v>1196.9215428986058</v>
      </c>
      <c r="I152" s="278">
        <f>'Resultater - Vestdanmark'!I152+'Resultater - Østdanmark'!I152</f>
        <v>2.430939271751778E-2</v>
      </c>
      <c r="J152" s="279">
        <f>'Resultater - Vestdanmark'!J152+'Resultater - Østdanmark'!J152</f>
        <v>1.736385194108413E-2</v>
      </c>
    </row>
    <row r="153" spans="1:10" hidden="1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7">
        <f>'Resultater - Vestdanmark'!H153+'Resultater - Østdanmark'!H153</f>
        <v>16773.399891430559</v>
      </c>
      <c r="I153" s="278">
        <f>'Resultater - Vestdanmark'!I153+'Resultater - Østdanmark'!I153</f>
        <v>324946.98031887563</v>
      </c>
      <c r="J153" s="279">
        <f>'Resultater - Vestdanmark'!J153+'Resultater - Østdanmark'!J153</f>
        <v>478593.41605201032</v>
      </c>
    </row>
    <row r="154" spans="1:10" hidden="1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7">
        <f>'Resultater - Vestdanmark'!H154+'Resultater - Østdanmark'!H154</f>
        <v>-162725.04672139056</v>
      </c>
      <c r="I154" s="278">
        <f>'Resultater - Vestdanmark'!I154+'Resultater - Østdanmark'!I154</f>
        <v>-2940702.0479999995</v>
      </c>
      <c r="J154" s="279">
        <f>'Resultater - Vestdanmark'!J154+'Resultater - Østdanmark'!J154</f>
        <v>-4331170.0799999991</v>
      </c>
    </row>
    <row r="155" spans="1:10" hidden="1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7">
        <f>'Resultater - Vestdanmark'!H155+'Resultater - Østdanmark'!H155</f>
        <v>3245.5001945546865</v>
      </c>
      <c r="I155" s="278">
        <f>'Resultater - Vestdanmark'!I155+'Resultater - Østdanmark'!I155</f>
        <v>58651.383184127699</v>
      </c>
      <c r="J155" s="279">
        <f>'Resultater - Vestdanmark'!J155+'Resultater - Østdanmark'!J155</f>
        <v>86383.833469452205</v>
      </c>
    </row>
    <row r="156" spans="1:10" hidden="1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7">
        <f>'Resultater - Vestdanmark'!H156+'Resultater - Østdanmark'!H156</f>
        <v>204.5574315852524</v>
      </c>
      <c r="I156" s="278">
        <f>'Resultater - Vestdanmark'!I156+'Resultater - Østdanmark'!I156</f>
        <v>454.74934975260715</v>
      </c>
      <c r="J156" s="279">
        <f>'Resultater - Vestdanmark'!J156+'Resultater - Østdanmark'!J156</f>
        <v>1.9253050422177089E-2</v>
      </c>
    </row>
    <row r="157" spans="1:10" hidden="1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7">
        <f>'Resultater - Vestdanmark'!H157+'Resultater - Østdanmark'!H157</f>
        <v>-1612.3968297864642</v>
      </c>
      <c r="I157" s="278">
        <f>'Resultater - Vestdanmark'!I157+'Resultater - Østdanmark'!I157</f>
        <v>-3343.7513515309156</v>
      </c>
      <c r="J157" s="279">
        <f>'Resultater - Vestdanmark'!J157+'Resultater - Østdanmark'!J157</f>
        <v>-0.141566806869037</v>
      </c>
    </row>
    <row r="158" spans="1:10" hidden="1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7">
        <f>'Resultater - Vestdanmark'!H158+'Resultater - Østdanmark'!H158</f>
        <v>231.98342151189939</v>
      </c>
      <c r="I158" s="278">
        <f>'Resultater - Vestdanmark'!I158+'Resultater - Østdanmark'!I158</f>
        <v>481.0818682370566</v>
      </c>
      <c r="J158" s="279">
        <f>'Resultater - Vestdanmark'!J158+'Resultater - Østdanmark'!J158</f>
        <v>2.036790920405291E-2</v>
      </c>
    </row>
    <row r="159" spans="1:10" hidden="1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7">
        <f>'Resultater - Vestdanmark'!H159+'Resultater - Østdanmark'!H159</f>
        <v>61.479911705441317</v>
      </c>
      <c r="I159" s="278">
        <f>'Resultater - Vestdanmark'!I159+'Resultater - Østdanmark'!I159</f>
        <v>4.4866254714796506E-3</v>
      </c>
      <c r="J159" s="279">
        <f>'Resultater - Vestdanmark'!J159+'Resultater - Østdanmark'!J159</f>
        <v>7.4777091191327522E-3</v>
      </c>
    </row>
    <row r="160" spans="1:10" hidden="1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7">
        <f>'Resultater - Vestdanmark'!H160+'Resultater - Østdanmark'!H160</f>
        <v>-404.72693546148446</v>
      </c>
      <c r="I160" s="278">
        <f>'Resultater - Vestdanmark'!I160+'Resultater - Østdanmark'!I160</f>
        <v>-2.7552049226746748E-2</v>
      </c>
      <c r="J160" s="279">
        <f>'Resultater - Vestdanmark'!J160+'Resultater - Østdanmark'!J160</f>
        <v>-4.5920082044577919E-2</v>
      </c>
    </row>
    <row r="161" spans="1:10" hidden="1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7">
        <f>'Resultater - Vestdanmark'!H161+'Resultater - Østdanmark'!H161</f>
        <v>153.04020095390325</v>
      </c>
      <c r="I161" s="278">
        <f>'Resultater - Vestdanmark'!I161+'Resultater - Østdanmark'!I161</f>
        <v>1.0418311164650479E-2</v>
      </c>
      <c r="J161" s="279">
        <f>'Resultater - Vestdanmark'!J161+'Resultater - Østdanmark'!J161</f>
        <v>1.736385194108413E-2</v>
      </c>
    </row>
    <row r="162" spans="1:10" hidden="1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7">
        <f>'Resultater - Vestdanmark'!H162+'Resultater - Østdanmark'!H162</f>
        <v>27749.688657763778</v>
      </c>
      <c r="I162" s="278">
        <f>'Resultater - Vestdanmark'!I162+'Resultater - Østdanmark'!I162</f>
        <v>147897.91792243253</v>
      </c>
      <c r="J162" s="279">
        <f>'Resultater - Vestdanmark'!J162+'Resultater - Østdanmark'!J162</f>
        <v>93246.667338622065</v>
      </c>
    </row>
    <row r="163" spans="1:10" hidden="1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7">
        <f>'Resultater - Vestdanmark'!H163+'Resultater - Østdanmark'!H163</f>
        <v>-23743486.815882854</v>
      </c>
      <c r="I163" s="278">
        <f>'Resultater - Vestdanmark'!I163+'Resultater - Østdanmark'!I163</f>
        <v>-126546005.88844179</v>
      </c>
      <c r="J163" s="279">
        <f>'Resultater - Vestdanmark'!J163+'Resultater - Østdanmark'!J163</f>
        <v>-79784715.565093622</v>
      </c>
    </row>
    <row r="164" spans="1:10" hidden="1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7">
        <f>'Resultater - Vestdanmark'!H164+'Resultater - Østdanmark'!H164</f>
        <v>5141.4697369274418</v>
      </c>
      <c r="I164" s="278">
        <f>'Resultater - Vestdanmark'!I164+'Resultater - Østdanmark'!I164</f>
        <v>27402.565792031623</v>
      </c>
      <c r="J164" s="279">
        <f>'Resultater - Vestdanmark'!J164+'Resultater - Østdanmark'!J164</f>
        <v>17276.767465884088</v>
      </c>
    </row>
    <row r="165" spans="1:10" hidden="1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7">
        <f>'Resultater - Vestdanmark'!H165+'Resultater - Østdanmark'!H165</f>
        <v>2022.4268112306345</v>
      </c>
      <c r="I165" s="278">
        <f>'Resultater - Vestdanmark'!I165+'Resultater - Østdanmark'!I165</f>
        <v>36129.348521051368</v>
      </c>
      <c r="J165" s="279">
        <f>'Resultater - Vestdanmark'!J165+'Resultater - Østdanmark'!J165</f>
        <v>53150.600383014564</v>
      </c>
    </row>
    <row r="166" spans="1:10" hidden="1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7">
        <f>'Resultater - Vestdanmark'!H166+'Resultater - Østdanmark'!H166</f>
        <v>-1730450.5618338804</v>
      </c>
      <c r="I166" s="278">
        <f>'Resultater - Vestdanmark'!I166+'Resultater - Østdanmark'!I166</f>
        <v>-30913381.438462209</v>
      </c>
      <c r="J166" s="279">
        <f>'Resultater - Vestdanmark'!J166+'Resultater - Østdanmark'!J166</f>
        <v>-45477287.872103363</v>
      </c>
    </row>
    <row r="167" spans="1:10" hidden="1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7">
        <f>'Resultater - Vestdanmark'!H167+'Resultater - Østdanmark'!H167</f>
        <v>657.39610620781025</v>
      </c>
      <c r="I167" s="278">
        <f>'Resultater - Vestdanmark'!I167+'Resultater - Østdanmark'!I167</f>
        <v>11743.956768013551</v>
      </c>
      <c r="J167" s="279">
        <f>'Resultater - Vestdanmark'!J167+'Resultater - Østdanmark'!J167</f>
        <v>17276.767465884088</v>
      </c>
    </row>
    <row r="168" spans="1:10" hidden="1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7">
        <f>'Resultater - Vestdanmark'!H168+'Resultater - Østdanmark'!H168</f>
        <v>1955168.9801122241</v>
      </c>
      <c r="I168" s="278">
        <f>'Resultater - Vestdanmark'!I168+'Resultater - Østdanmark'!I168</f>
        <v>2055277.4889315553</v>
      </c>
      <c r="J168" s="279">
        <f>'Resultater - Vestdanmark'!J168+'Resultater - Østdanmark'!J168</f>
        <v>1297322.3333638092</v>
      </c>
    </row>
    <row r="169" spans="1:10" hidden="1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7">
        <f>'Resultater - Vestdanmark'!H169+'Resultater - Østdanmark'!H169</f>
        <v>-6905324.6027384531</v>
      </c>
      <c r="I169" s="278">
        <f>'Resultater - Vestdanmark'!I169+'Resultater - Østdanmark'!I169</f>
        <v>-6771353.3999999994</v>
      </c>
      <c r="J169" s="279">
        <f>'Resultater - Vestdanmark'!J169+'Resultater - Østdanmark'!J169</f>
        <v>-4274180.9999999991</v>
      </c>
    </row>
    <row r="170" spans="1:10" hidden="1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7">
        <f>'Resultater - Vestdanmark'!H170+'Resultater - Østdanmark'!H170</f>
        <v>104670.65103270129</v>
      </c>
      <c r="I170" s="278">
        <f>'Resultater - Vestdanmark'!I170+'Resultater - Østdanmark'!I170</f>
        <v>102639.92057222348</v>
      </c>
      <c r="J170" s="279">
        <f>'Resultater - Vestdanmark'!J170+'Resultater - Østdanmark'!J170</f>
        <v>64787.87510208915</v>
      </c>
    </row>
    <row r="171" spans="1:10" hidden="1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7">
        <f>'Resultater - Vestdanmark'!H171+'Resultater - Østdanmark'!H171</f>
        <v>76780.532840637781</v>
      </c>
      <c r="I171" s="278">
        <f>'Resultater - Vestdanmark'!I171+'Resultater - Østdanmark'!I171</f>
        <v>50909.084867571532</v>
      </c>
      <c r="J171" s="279">
        <f>'Resultater - Vestdanmark'!J171+'Resultater - Østdanmark'!J171</f>
        <v>0.92373195265317931</v>
      </c>
    </row>
    <row r="172" spans="1:10" hidden="1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7">
        <f>'Resultater - Vestdanmark'!H172+'Resultater - Østdanmark'!H172</f>
        <v>-180783.86329737815</v>
      </c>
      <c r="I172" s="278">
        <f>'Resultater - Vestdanmark'!I172+'Resultater - Østdanmark'!I172</f>
        <v>-111817.31153591492</v>
      </c>
      <c r="J172" s="279">
        <f>'Resultater - Vestdanmark'!J172+'Resultater - Østdanmark'!J172</f>
        <v>-2.0288957028825623</v>
      </c>
    </row>
    <row r="173" spans="1:10" hidden="1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7">
        <f>'Resultater - Vestdanmark'!H173+'Resultater - Østdanmark'!H173</f>
        <v>24092.002403541195</v>
      </c>
      <c r="I173" s="278">
        <f>'Resultater - Vestdanmark'!I173+'Resultater - Østdanmark'!I173</f>
        <v>14901.235592302148</v>
      </c>
      <c r="J173" s="279">
        <f>'Resultater - Vestdanmark'!J173+'Resultater - Østdanmark'!J173</f>
        <v>0.27037899986668773</v>
      </c>
    </row>
    <row r="174" spans="1:10" hidden="1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7">
        <f>'Resultater - Vestdanmark'!H174+'Resultater - Østdanmark'!H174</f>
        <v>76689.476357594409</v>
      </c>
      <c r="I174" s="278">
        <f>'Resultater - Vestdanmark'!I174+'Resultater - Østdanmark'!I174</f>
        <v>1.660660295827405</v>
      </c>
      <c r="J174" s="279">
        <f>'Resultater - Vestdanmark'!J174+'Resultater - Østdanmark'!J174</f>
        <v>1.1861859255910039</v>
      </c>
    </row>
    <row r="175" spans="1:10" hidden="1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7">
        <f>'Resultater - Vestdanmark'!H175+'Resultater - Østdanmark'!H175</f>
        <v>-116080.37096608599</v>
      </c>
      <c r="I175" s="278">
        <f>'Resultater - Vestdanmark'!I175+'Resultater - Østdanmark'!I175</f>
        <v>-2.3448174205785621</v>
      </c>
      <c r="J175" s="279">
        <f>'Resultater - Vestdanmark'!J175+'Resultater - Østdanmark'!J175</f>
        <v>-1.6748695861275447</v>
      </c>
    </row>
    <row r="176" spans="1:10" hidden="1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7">
        <f>'Resultater - Vestdanmark'!H176+'Resultater - Østdanmark'!H176</f>
        <v>52818.754154083166</v>
      </c>
      <c r="I176" s="278">
        <f>'Resultater - Vestdanmark'!I176+'Resultater - Østdanmark'!I176</f>
        <v>1.0669360706120987</v>
      </c>
      <c r="J176" s="279">
        <f>'Resultater - Vestdanmark'!J176+'Resultater - Østdanmark'!J176</f>
        <v>0.76209719329435621</v>
      </c>
    </row>
    <row r="177" spans="1:10" hidden="1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7">
        <f>'Resultater - Vestdanmark'!H177+'Resultater - Østdanmark'!H177</f>
        <v>142494.79389236751</v>
      </c>
      <c r="I177" s="278">
        <f>'Resultater - Vestdanmark'!I177+'Resultater - Østdanmark'!I177</f>
        <v>502074.92943899415</v>
      </c>
      <c r="J177" s="279">
        <f>'Resultater - Vestdanmark'!J177+'Resultater - Østdanmark'!J177</f>
        <v>739473.73001737113</v>
      </c>
    </row>
    <row r="178" spans="1:10" hidden="1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7">
        <f>'Resultater - Vestdanmark'!H178+'Resultater - Østdanmark'!H178</f>
        <v>-503267.39838652278</v>
      </c>
      <c r="I178" s="278">
        <f>'Resultater - Vestdanmark'!I178+'Resultater - Østdanmark'!I178</f>
        <v>-1654144.9019999995</v>
      </c>
      <c r="J178" s="279">
        <f>'Resultater - Vestdanmark'!J178+'Resultater - Østdanmark'!J178</f>
        <v>-2436283.169999999</v>
      </c>
    </row>
    <row r="179" spans="1:10" hidden="1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7">
        <f>'Resultater - Vestdanmark'!H179+'Resultater - Østdanmark'!H179</f>
        <v>13383.347942111091</v>
      </c>
      <c r="I179" s="278">
        <f>'Resultater - Vestdanmark'!I179+'Resultater - Østdanmark'!I179</f>
        <v>43988.537388095778</v>
      </c>
      <c r="J179" s="279">
        <f>'Resultater - Vestdanmark'!J179+'Resultater - Østdanmark'!J179</f>
        <v>64787.87510208915</v>
      </c>
    </row>
    <row r="180" spans="1:10" hidden="1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7">
        <f>'Resultater - Vestdanmark'!H180+'Resultater - Østdanmark'!H180</f>
        <v>5595.8468620164213</v>
      </c>
      <c r="I180" s="278">
        <f>'Resultater - Vestdanmark'!I180+'Resultater - Østdanmark'!I180</f>
        <v>12436.362160506758</v>
      </c>
      <c r="J180" s="279">
        <f>'Resultater - Vestdanmark'!J180+'Resultater - Østdanmark'!J180</f>
        <v>0.5265272130123122</v>
      </c>
    </row>
    <row r="181" spans="1:10" hidden="1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7">
        <f>'Resultater - Vestdanmark'!H181+'Resultater - Østdanmark'!H181</f>
        <v>-13175.720155987337</v>
      </c>
      <c r="I181" s="278">
        <f>'Resultater - Vestdanmark'!I181+'Resultater - Østdanmark'!I181</f>
        <v>-27315.371818059215</v>
      </c>
      <c r="J181" s="279">
        <f>'Resultater - Vestdanmark'!J181+'Resultater - Østdanmark'!J181</f>
        <v>-1.1564705506430606</v>
      </c>
    </row>
    <row r="182" spans="1:10" hidden="1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7">
        <f>'Resultater - Vestdanmark'!H182+'Resultater - Østdanmark'!H182</f>
        <v>3080.4399094454293</v>
      </c>
      <c r="I182" s="278">
        <f>'Resultater - Vestdanmark'!I182+'Resultater - Østdanmark'!I182</f>
        <v>6386.2438252723477</v>
      </c>
      <c r="J182" s="279">
        <f>'Resultater - Vestdanmark'!J182+'Resultater - Østdanmark'!J182</f>
        <v>0.27037899986668773</v>
      </c>
    </row>
    <row r="183" spans="1:10" hidden="1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7">
        <f>'Resultater - Vestdanmark'!H183+'Resultater - Østdanmark'!H183</f>
        <v>5589.2105687262674</v>
      </c>
      <c r="I183" s="278">
        <f>'Resultater - Vestdanmark'!I183+'Resultater - Østdanmark'!I183</f>
        <v>0.40567558655212327</v>
      </c>
      <c r="J183" s="279">
        <f>'Resultater - Vestdanmark'!J183+'Resultater - Østdanmark'!J183</f>
        <v>0.67612597758687221</v>
      </c>
    </row>
    <row r="184" spans="1:10" hidden="1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7">
        <f>'Resultater - Vestdanmark'!H184+'Resultater - Østdanmark'!H184</f>
        <v>-8460.0608458981151</v>
      </c>
      <c r="I184" s="278">
        <f>'Resultater - Vestdanmark'!I184+'Resultater - Østdanmark'!I184</f>
        <v>-0.57280539845562017</v>
      </c>
      <c r="J184" s="279">
        <f>'Resultater - Vestdanmark'!J184+'Resultater - Østdanmark'!J184</f>
        <v>-0.95467566409270044</v>
      </c>
    </row>
    <row r="185" spans="1:10" hidden="1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7">
        <f>'Resultater - Vestdanmark'!H185+'Resultater - Østdanmark'!H185</f>
        <v>6753.4858887241726</v>
      </c>
      <c r="I185" s="278">
        <f>'Resultater - Vestdanmark'!I185+'Resultater - Østdanmark'!I185</f>
        <v>0.45725831597661365</v>
      </c>
      <c r="J185" s="279">
        <f>'Resultater - Vestdanmark'!J185+'Resultater - Østdanmark'!J185</f>
        <v>0.76209719329435621</v>
      </c>
    </row>
    <row r="186" spans="1:10" hidden="1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7">
        <f>'Resultater - Vestdanmark'!H186+'Resultater - Østdanmark'!H186</f>
        <v>10596561.852889422</v>
      </c>
      <c r="I186" s="278">
        <f>'Resultater - Vestdanmark'!I186+'Resultater - Østdanmark'!I186</f>
        <v>10405378.06299264</v>
      </c>
      <c r="J186" s="279">
        <f>'Resultater - Vestdanmark'!J186+'Resultater - Østdanmark'!J186</f>
        <v>4547099.4245567992</v>
      </c>
    </row>
    <row r="187" spans="1:10" hidden="1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7">
        <f>'Resultater - Vestdanmark'!H187+'Resultater - Østdanmark'!H187</f>
        <v>-33100908.649694897</v>
      </c>
      <c r="I187" s="278">
        <f>'Resultater - Vestdanmark'!I187+'Resultater - Østdanmark'!I187</f>
        <v>-30320615.779999997</v>
      </c>
      <c r="J187" s="279">
        <f>'Resultater - Vestdanmark'!J187+'Resultater - Østdanmark'!J187</f>
        <v>-13249961.1</v>
      </c>
    </row>
    <row r="188" spans="1:10" hidden="1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7">
        <f>'Resultater - Vestdanmark'!H188+'Resultater - Østdanmark'!H188</f>
        <v>485557.09390620678</v>
      </c>
      <c r="I188" s="278">
        <f>'Resultater - Vestdanmark'!I188+'Resultater - Østdanmark'!I188</f>
        <v>444772.98914630176</v>
      </c>
      <c r="J188" s="279">
        <f>'Resultater - Vestdanmark'!J188+'Resultater - Østdanmark'!J188</f>
        <v>194363.62530626747</v>
      </c>
    </row>
    <row r="189" spans="1:10" hidden="1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7">
        <f>'Resultater - Vestdanmark'!H189+'Resultater - Østdanmark'!H189</f>
        <v>1250706.5448330601</v>
      </c>
      <c r="I189" s="278">
        <f>'Resultater - Vestdanmark'!I189+'Resultater - Østdanmark'!I189</f>
        <v>829321.44748085947</v>
      </c>
      <c r="J189" s="279">
        <f>'Resultater - Vestdanmark'!J189+'Resultater - Østdanmark'!J189</f>
        <v>15.047819501206568</v>
      </c>
    </row>
    <row r="190" spans="1:10" hidden="1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7">
        <f>'Resultater - Vestdanmark'!H190+'Resultater - Østdanmark'!H190</f>
        <v>-2730616.868673549</v>
      </c>
      <c r="I190" s="278">
        <f>'Resultater - Vestdanmark'!I190+'Resultater - Østdanmark'!I190</f>
        <v>-1689014.8112676197</v>
      </c>
      <c r="J190" s="279">
        <f>'Resultater - Vestdanmark'!J190+'Resultater - Østdanmark'!J190</f>
        <v>-30.646729434072924</v>
      </c>
    </row>
    <row r="191" spans="1:10" hidden="1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7">
        <f>'Resultater - Vestdanmark'!H191+'Resultater - Østdanmark'!H191</f>
        <v>335901.46460405836</v>
      </c>
      <c r="I191" s="278">
        <f>'Resultater - Vestdanmark'!I191+'Resultater - Østdanmark'!I191</f>
        <v>207770.83572267625</v>
      </c>
      <c r="J191" s="279">
        <f>'Resultater - Vestdanmark'!J191+'Resultater - Østdanmark'!J191</f>
        <v>3.7699471574824215</v>
      </c>
    </row>
    <row r="192" spans="1:10" hidden="1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7">
        <f>'Resultater - Vestdanmark'!H192+'Resultater - Østdanmark'!H192</f>
        <v>1501712.5809897545</v>
      </c>
      <c r="I192" s="278">
        <f>'Resultater - Vestdanmark'!I192+'Resultater - Østdanmark'!I192</f>
        <v>32.550745053909367</v>
      </c>
      <c r="J192" s="279">
        <f>'Resultater - Vestdanmark'!J192+'Resultater - Østdanmark'!J192</f>
        <v>23.250532181363837</v>
      </c>
    </row>
    <row r="193" spans="1:10" hidden="1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7">
        <f>'Resultater - Vestdanmark'!H193+'Resultater - Østdanmark'!H193</f>
        <v>-2269819.4996822169</v>
      </c>
      <c r="I193" s="278">
        <f>'Resultater - Vestdanmark'!I193+'Resultater - Østdanmark'!I193</f>
        <v>-45.89555771330776</v>
      </c>
      <c r="J193" s="279">
        <f>'Resultater - Vestdanmark'!J193+'Resultater - Østdanmark'!J193</f>
        <v>-32.782541223791256</v>
      </c>
    </row>
    <row r="194" spans="1:10" hidden="1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7">
        <f>'Resultater - Vestdanmark'!H194+'Resultater - Østdanmark'!H194</f>
        <v>885266.2325747133</v>
      </c>
      <c r="I194" s="278">
        <f>'Resultater - Vestdanmark'!I194+'Resultater - Østdanmark'!I194</f>
        <v>17.900008117149227</v>
      </c>
      <c r="J194" s="279">
        <f>'Resultater - Vestdanmark'!J194+'Resultater - Østdanmark'!J194</f>
        <v>12.78572008367802</v>
      </c>
    </row>
    <row r="195" spans="1:10" hidden="1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7">
        <f>'Resultater - Vestdanmark'!H195+'Resultater - Østdanmark'!H195</f>
        <v>1056816.1068755633</v>
      </c>
      <c r="I195" s="278">
        <f>'Resultater - Vestdanmark'!I195+'Resultater - Østdanmark'!I195</f>
        <v>3478369.2382003968</v>
      </c>
      <c r="J195" s="279">
        <f>'Resultater - Vestdanmark'!J195+'Resultater - Østdanmark'!J195</f>
        <v>3546737.5511543038</v>
      </c>
    </row>
    <row r="196" spans="1:10" hidden="1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7">
        <f>'Resultater - Vestdanmark'!H196+'Resultater - Østdanmark'!H196</f>
        <v>-3301219.1972130653</v>
      </c>
      <c r="I196" s="278">
        <f>'Resultater - Vestdanmark'!I196+'Resultater - Østdanmark'!I196</f>
        <v>-10135748.703599999</v>
      </c>
      <c r="J196" s="279">
        <f>'Resultater - Vestdanmark'!J196+'Resultater - Østdanmark'!J196</f>
        <v>-10334969.658</v>
      </c>
    </row>
    <row r="197" spans="1:10" hidden="1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7">
        <f>'Resultater - Vestdanmark'!H197+'Resultater - Østdanmark'!H197</f>
        <v>62084.065298082889</v>
      </c>
      <c r="I197" s="278">
        <f>'Resultater - Vestdanmark'!I197+'Resultater - Østdanmark'!I197</f>
        <v>190616.99534841505</v>
      </c>
      <c r="J197" s="279">
        <f>'Resultater - Vestdanmark'!J197+'Resultater - Østdanmark'!J197</f>
        <v>194363.62530626747</v>
      </c>
    </row>
    <row r="198" spans="1:10" hidden="1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7">
        <f>'Resultater - Vestdanmark'!H198+'Resultater - Østdanmark'!H198</f>
        <v>124735.44154265925</v>
      </c>
      <c r="I198" s="278">
        <f>'Resultater - Vestdanmark'!I198+'Resultater - Østdanmark'!I198</f>
        <v>277230.31244360161</v>
      </c>
      <c r="J198" s="279">
        <f>'Resultater - Vestdanmark'!J198+'Resultater - Østdanmark'!J198</f>
        <v>11.737299210941122</v>
      </c>
    </row>
    <row r="199" spans="1:10" hidden="1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7">
        <f>'Resultater - Vestdanmark'!H199+'Resultater - Østdanmark'!H199</f>
        <v>-272329.83005081455</v>
      </c>
      <c r="I199" s="278">
        <f>'Resultater - Vestdanmark'!I199+'Resultater - Østdanmark'!I199</f>
        <v>-564613.52262374724</v>
      </c>
      <c r="J199" s="279">
        <f>'Resultater - Vestdanmark'!J199+'Resultater - Østdanmark'!J199</f>
        <v>-23.904448958576879</v>
      </c>
    </row>
    <row r="200" spans="1:10" hidden="1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7">
        <f>'Resultater - Vestdanmark'!H200+'Resultater - Østdanmark'!H200</f>
        <v>42948.869914417002</v>
      </c>
      <c r="I200" s="278">
        <f>'Resultater - Vestdanmark'!I200+'Resultater - Østdanmark'!I200</f>
        <v>89044.643881146971</v>
      </c>
      <c r="J200" s="279">
        <f>'Resultater - Vestdanmark'!J200+'Resultater - Østdanmark'!J200</f>
        <v>3.7699471574824215</v>
      </c>
    </row>
    <row r="201" spans="1:10" hidden="1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7">
        <f>'Resultater - Vestdanmark'!H201+'Resultater - Østdanmark'!H201</f>
        <v>149768.77080700482</v>
      </c>
      <c r="I201" s="278">
        <f>'Resultater - Vestdanmark'!I201+'Resultater - Østdanmark'!I201</f>
        <v>10.881249060878275</v>
      </c>
      <c r="J201" s="279">
        <f>'Resultater - Vestdanmark'!J201+'Resultater - Østdanmark'!J201</f>
        <v>18.135415101463792</v>
      </c>
    </row>
    <row r="202" spans="1:10" hidden="1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7">
        <f>'Resultater - Vestdanmark'!H202+'Resultater - Østdanmark'!H202</f>
        <v>-226373.59553658532</v>
      </c>
      <c r="I202" s="278">
        <f>'Resultater - Vestdanmark'!I202+'Resultater - Østdanmark'!I202</f>
        <v>-15.342229292734313</v>
      </c>
      <c r="J202" s="279">
        <f>'Resultater - Vestdanmark'!J202+'Resultater - Østdanmark'!J202</f>
        <v>-25.570382154557183</v>
      </c>
    </row>
    <row r="203" spans="1:10" hidden="1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7">
        <f>'Resultater - Vestdanmark'!H203+'Resultater - Østdanmark'!H203</f>
        <v>113191.4810413066</v>
      </c>
      <c r="I203" s="278">
        <f>'Resultater - Vestdanmark'!I203+'Resultater - Østdanmark'!I203</f>
        <v>7.6714320502068123</v>
      </c>
      <c r="J203" s="279">
        <f>'Resultater - Vestdanmark'!J203+'Resultater - Østdanmark'!J203</f>
        <v>12.78572008367802</v>
      </c>
    </row>
    <row r="204" spans="1:10" hidden="1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7">
        <f>'Resultater - Vestdanmark'!H204+'Resultater - Østdanmark'!H204</f>
        <v>252119.08822285215</v>
      </c>
      <c r="I204" s="278">
        <f>'Resultater - Vestdanmark'!I204+'Resultater - Østdanmark'!I204</f>
        <v>716049.25466815999</v>
      </c>
      <c r="J204" s="279">
        <f>'Resultater - Vestdanmark'!J204+'Resultater - Østdanmark'!J204</f>
        <v>444120.61153728009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7">
        <f>'Resultater - Vestdanmark'!H205+'Resultater - Østdanmark'!H205</f>
        <v>74848.798129844407</v>
      </c>
      <c r="I205" s="278">
        <f>'Resultater - Vestdanmark'!I205+'Resultater - Østdanmark'!I205</f>
        <v>268156.37237749493</v>
      </c>
      <c r="J205" s="279">
        <f>'Resultater - Vestdanmark'!J205+'Resultater - Østdanmark'!J205</f>
        <v>205180.60568345999</v>
      </c>
    </row>
    <row r="206" spans="1:10" hidden="1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7">
        <f>'Resultater - Vestdanmark'!H206+'Resultater - Østdanmark'!H206</f>
        <v>0</v>
      </c>
      <c r="I206" s="278">
        <f>'Resultater - Vestdanmark'!I206+'Resultater - Østdanmark'!I206</f>
        <v>0</v>
      </c>
      <c r="J206" s="279">
        <f>'Resultater - Vestdanmark'!J206+'Resultater - Østdanmark'!J206</f>
        <v>0</v>
      </c>
    </row>
    <row r="207" spans="1:10" hidden="1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7">
        <f>'Resultater - Vestdanmark'!H207+'Resultater - Østdanmark'!H207</f>
        <v>148508.2256030748</v>
      </c>
      <c r="I207" s="278">
        <f>'Resultater - Vestdanmark'!I207+'Resultater - Østdanmark'!I207</f>
        <v>393453.02886019001</v>
      </c>
      <c r="J207" s="279">
        <f>'Resultater - Vestdanmark'!J207+'Resultater - Østdanmark'!J207</f>
        <v>244034.32955120248</v>
      </c>
    </row>
    <row r="208" spans="1:10" hidden="1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7">
        <f>'Resultater - Vestdanmark'!H208+'Resultater - Østdanmark'!H208</f>
        <v>9762.0012470722486</v>
      </c>
      <c r="I208" s="278">
        <f>'Resultater - Vestdanmark'!I208+'Resultater - Østdanmark'!I208</f>
        <v>6472.9094482358096</v>
      </c>
      <c r="J208" s="279">
        <f>'Resultater - Vestdanmark'!J208+'Resultater - Østdanmark'!J208</f>
        <v>0.117449239158799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7">
        <f>'Resultater - Vestdanmark'!H209+'Resultater - Østdanmark'!H209</f>
        <v>2898.1306645038535</v>
      </c>
      <c r="I209" s="278">
        <f>'Resultater - Vestdanmark'!I209+'Resultater - Østdanmark'!I209</f>
        <v>2424.0677649630816</v>
      </c>
      <c r="J209" s="279">
        <f>'Resultater - Vestdanmark'!J209+'Resultater - Østdanmark'!J209</f>
        <v>5.4260724230406683E-2</v>
      </c>
    </row>
    <row r="210" spans="1:10" hidden="1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7">
        <f>'Resultater - Vestdanmark'!H210+'Resultater - Østdanmark'!H210</f>
        <v>0</v>
      </c>
      <c r="I210" s="278">
        <f>'Resultater - Vestdanmark'!I210+'Resultater - Østdanmark'!I210</f>
        <v>0</v>
      </c>
      <c r="J210" s="279">
        <f>'Resultater - Vestdanmark'!J210+'Resultater - Østdanmark'!J210</f>
        <v>0</v>
      </c>
    </row>
    <row r="211" spans="1:10" hidden="1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7">
        <f>'Resultater - Vestdanmark'!H211+'Resultater - Østdanmark'!H211</f>
        <v>33702.707331215737</v>
      </c>
      <c r="I211" s="278">
        <f>'Resultater - Vestdanmark'!I211+'Resultater - Østdanmark'!I211</f>
        <v>20846.381266553402</v>
      </c>
      <c r="J211" s="279">
        <f>'Resultater - Vestdanmark'!J211+'Resultater - Østdanmark'!J211</f>
        <v>0.37825210418141209</v>
      </c>
    </row>
    <row r="212" spans="1:10" hidden="1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7">
        <f>'Resultater - Vestdanmark'!H212+'Resultater - Østdanmark'!H212</f>
        <v>3876.3292971970382</v>
      </c>
      <c r="I212" s="278">
        <f>'Resultater - Vestdanmark'!I212+'Resultater - Østdanmark'!I212</f>
        <v>8.3998152372733545E-2</v>
      </c>
      <c r="J212" s="279">
        <f>'Resultater - Vestdanmark'!J212+'Resultater - Østdanmark'!J212</f>
        <v>5.9998680266238245E-2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7">
        <f>'Resultater - Vestdanmark'!H213+'Resultater - Østdanmark'!H213</f>
        <v>1150.7997712344754</v>
      </c>
      <c r="I213" s="278">
        <f>'Resultater - Vestdanmark'!I213+'Resultater - Østdanmark'!I213</f>
        <v>3.1456830210825279E-2</v>
      </c>
      <c r="J213" s="279">
        <f>'Resultater - Vestdanmark'!J213+'Resultater - Østdanmark'!J213</f>
        <v>2.7718969211141108E-2</v>
      </c>
    </row>
    <row r="214" spans="1:10" hidden="1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7">
        <f>'Resultater - Vestdanmark'!H214+'Resultater - Østdanmark'!H214</f>
        <v>0</v>
      </c>
      <c r="I214" s="278">
        <f>'Resultater - Vestdanmark'!I214+'Resultater - Østdanmark'!I214</f>
        <v>0</v>
      </c>
      <c r="J214" s="279">
        <f>'Resultater - Vestdanmark'!J214+'Resultater - Østdanmark'!J214</f>
        <v>0</v>
      </c>
    </row>
    <row r="215" spans="1:10" hidden="1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7">
        <f>'Resultater - Vestdanmark'!H215+'Resultater - Østdanmark'!H215</f>
        <v>29374.954227709619</v>
      </c>
      <c r="I215" s="278">
        <f>'Resultater - Vestdanmark'!I215+'Resultater - Østdanmark'!I215</f>
        <v>0.59378809080781381</v>
      </c>
      <c r="J215" s="279">
        <f>'Resultater - Vestdanmark'!J215+'Resultater - Østdanmark'!J215</f>
        <v>0.42413435057700993</v>
      </c>
    </row>
    <row r="216" spans="1:10" hidden="1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7">
        <f>'Resultater - Vestdanmark'!H216+'Resultater - Østdanmark'!H216</f>
        <v>18374.707188012384</v>
      </c>
      <c r="I216" s="278">
        <f>'Resultater - Vestdanmark'!I216+'Resultater - Østdanmark'!I216</f>
        <v>174920.60364036483</v>
      </c>
      <c r="J216" s="279">
        <f>'Resultater - Vestdanmark'!J216+'Resultater - Østdanmark'!J216</f>
        <v>253148.74857624964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7">
        <f>'Resultater - Vestdanmark'!H217+'Resultater - Østdanmark'!H217</f>
        <v>5455.059982585959</v>
      </c>
      <c r="I217" s="278">
        <f>'Resultater - Vestdanmark'!I217+'Resultater - Østdanmark'!I217</f>
        <v>65506.770966502343</v>
      </c>
      <c r="J217" s="279">
        <f>'Resultater - Vestdanmark'!J217+'Resultater - Østdanmark'!J217</f>
        <v>116952.94523957219</v>
      </c>
    </row>
    <row r="218" spans="1:10" hidden="1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7">
        <f>'Resultater - Vestdanmark'!H218+'Resultater - Østdanmark'!H218</f>
        <v>0</v>
      </c>
      <c r="I218" s="278">
        <f>'Resultater - Vestdanmark'!I218+'Resultater - Østdanmark'!I218</f>
        <v>0</v>
      </c>
      <c r="J218" s="279">
        <f>'Resultater - Vestdanmark'!J218+'Resultater - Østdanmark'!J218</f>
        <v>0</v>
      </c>
    </row>
    <row r="219" spans="1:10" hidden="1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7">
        <f>'Resultater - Vestdanmark'!H219+'Resultater - Østdanmark'!H219</f>
        <v>18988.48660920751</v>
      </c>
      <c r="I219" s="278">
        <f>'Resultater - Vestdanmark'!I219+'Resultater - Østdanmark'!I219</f>
        <v>168622.72665436717</v>
      </c>
      <c r="J219" s="279">
        <f>'Resultater - Vestdanmark'!J219+'Resultater - Østdanmark'!J219</f>
        <v>244034.32955120248</v>
      </c>
    </row>
    <row r="220" spans="1:10" hidden="1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7">
        <f>'Resultater - Vestdanmark'!H220+'Resultater - Østdanmark'!H220</f>
        <v>711.46502927780227</v>
      </c>
      <c r="I220" s="278">
        <f>'Resultater - Vestdanmark'!I220+'Resultater - Østdanmark'!I220</f>
        <v>1581.2393080690331</v>
      </c>
      <c r="J220" s="279">
        <f>'Resultater - Vestdanmark'!J220+'Resultater - Østdanmark'!J220</f>
        <v>6.6946066320515432E-2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7">
        <f>'Resultater - Vestdanmark'!H221+'Resultater - Østdanmark'!H221</f>
        <v>211.21884395277317</v>
      </c>
      <c r="I221" s="278">
        <f>'Resultater - Vestdanmark'!I221+'Resultater - Østdanmark'!I221</f>
        <v>592.16512544098111</v>
      </c>
      <c r="J221" s="279">
        <f>'Resultater - Vestdanmark'!J221+'Resultater - Østdanmark'!J221</f>
        <v>3.0928612811331805E-2</v>
      </c>
    </row>
    <row r="222" spans="1:10" hidden="1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7">
        <f>'Resultater - Vestdanmark'!H222+'Resultater - Østdanmark'!H222</f>
        <v>0</v>
      </c>
      <c r="I222" s="278">
        <f>'Resultater - Vestdanmark'!I222+'Resultater - Østdanmark'!I222</f>
        <v>0</v>
      </c>
      <c r="J222" s="279">
        <f>'Resultater - Vestdanmark'!J222+'Resultater - Østdanmark'!J222</f>
        <v>0</v>
      </c>
    </row>
    <row r="223" spans="1:10" hidden="1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7">
        <f>'Resultater - Vestdanmark'!H223+'Resultater - Østdanmark'!H223</f>
        <v>4309.2791948325566</v>
      </c>
      <c r="I223" s="278">
        <f>'Resultater - Vestdanmark'!I223+'Resultater - Østdanmark'!I223</f>
        <v>8934.1633999514579</v>
      </c>
      <c r="J223" s="279">
        <f>'Resultater - Vestdanmark'!J223+'Resultater - Østdanmark'!J223</f>
        <v>0.37825210418141209</v>
      </c>
    </row>
    <row r="224" spans="1:10" hidden="1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7">
        <f>'Resultater - Vestdanmark'!H224+'Resultater - Østdanmark'!H224</f>
        <v>282.51100026726743</v>
      </c>
      <c r="I224" s="278">
        <f>'Resultater - Vestdanmark'!I224+'Resultater - Østdanmark'!I224</f>
        <v>2.0519548651053481E-2</v>
      </c>
      <c r="J224" s="279">
        <f>'Resultater - Vestdanmark'!J224+'Resultater - Østdanmark'!J224</f>
        <v>3.4199247751755806E-2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7">
        <f>'Resultater - Vestdanmark'!H225+'Resultater - Østdanmark'!H225</f>
        <v>83.871510790861564</v>
      </c>
      <c r="I225" s="278">
        <f>'Resultater - Vestdanmark'!I225+'Resultater - Østdanmark'!I225</f>
        <v>7.6844542372158878E-3</v>
      </c>
      <c r="J225" s="279">
        <f>'Resultater - Vestdanmark'!J225+'Resultater - Østdanmark'!J225</f>
        <v>1.5799812450350427E-2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7">
        <f>'Resultater - Vestdanmark'!H226+'Resultater - Østdanmark'!H226</f>
        <v>0</v>
      </c>
      <c r="I226" s="278">
        <f>'Resultater - Vestdanmark'!I226+'Resultater - Østdanmark'!I226</f>
        <v>0</v>
      </c>
      <c r="J226" s="279">
        <f>'Resultater - Vestdanmark'!J226+'Resultater - Østdanmark'!J226</f>
        <v>0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7">
        <f>'Resultater - Vestdanmark'!H227+'Resultater - Østdanmark'!H227</f>
        <v>3755.926129571902</v>
      </c>
      <c r="I227" s="278">
        <f>'Resultater - Vestdanmark'!I227+'Resultater - Østdanmark'!I227</f>
        <v>0.25448061034620595</v>
      </c>
      <c r="J227" s="279">
        <f>'Resultater - Vestdanmark'!J227+'Resultater - Østdanmark'!J227</f>
        <v>0.42413435057700993</v>
      </c>
    </row>
    <row r="228" spans="1:10" hidden="1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7">
        <f>'Resultater - Vestdanmark'!H228+'Resultater - Østdanmark'!H228</f>
        <v>2432067.6197482329</v>
      </c>
      <c r="I228" s="278">
        <f>'Resultater - Vestdanmark'!I228+'Resultater - Østdanmark'!I228</f>
        <v>655346.62950399984</v>
      </c>
      <c r="J228" s="279">
        <f>'Resultater - Vestdanmark'!J228+'Resultater - Østdanmark'!J228</f>
        <v>413664.73535999993</v>
      </c>
    </row>
    <row r="229" spans="1:10" hidden="1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7">
        <f>'Resultater - Vestdanmark'!H229+'Resultater - Østdanmark'!H229</f>
        <v>-4040788.3212018311</v>
      </c>
      <c r="I229" s="278">
        <f>'Resultater - Vestdanmark'!I229+'Resultater - Østdanmark'!I229</f>
        <v>-1015703.0099999998</v>
      </c>
      <c r="J229" s="279">
        <f>'Resultater - Vestdanmark'!J229+'Resultater - Østdanmark'!J229</f>
        <v>-641127.14999999991</v>
      </c>
    </row>
    <row r="230" spans="1:10" hidden="1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7">
        <f>'Resultater - Vestdanmark'!H230+'Resultater - Østdanmark'!H230</f>
        <v>68055.686267538025</v>
      </c>
      <c r="I230" s="278">
        <f>'Resultater - Vestdanmark'!I230+'Resultater - Østdanmark'!I230</f>
        <v>17106.65342870391</v>
      </c>
      <c r="J230" s="279">
        <f>'Resultater - Vestdanmark'!J230+'Resultater - Østdanmark'!J230</f>
        <v>10797.979183681526</v>
      </c>
    </row>
    <row r="231" spans="1:10" hidden="1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7">
        <f>'Resultater - Vestdanmark'!H231+'Resultater - Østdanmark'!H231</f>
        <v>13122.873542371528</v>
      </c>
      <c r="I231" s="278">
        <f>'Resultater - Vestdanmark'!I231+'Resultater - Østdanmark'!I231</f>
        <v>8712.5941867629299</v>
      </c>
      <c r="J231" s="279">
        <f>'Resultater - Vestdanmark'!J231+'Resultater - Østdanmark'!J231</f>
        <v>0.1580877295632383</v>
      </c>
    </row>
    <row r="232" spans="1:10" hidden="1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7">
        <f>'Resultater - Vestdanmark'!H232+'Resultater - Østdanmark'!H232</f>
        <v>-14131.676367037673</v>
      </c>
      <c r="I232" s="278">
        <f>'Resultater - Vestdanmark'!I232+'Resultater - Østdanmark'!I232</f>
        <v>-8752.204162171156</v>
      </c>
      <c r="J232" s="279">
        <f>'Resultater - Vestdanmark'!J232+'Resultater - Østdanmark'!J232</f>
        <v>-0.15880644214712702</v>
      </c>
    </row>
    <row r="233" spans="1:10" hidden="1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7">
        <f>'Resultater - Vestdanmark'!H233+'Resultater - Østdanmark'!H233</f>
        <v>2152.2804701131786</v>
      </c>
      <c r="I233" s="278">
        <f>'Resultater - Vestdanmark'!I233+'Resultater - Østdanmark'!I233</f>
        <v>1332.9768952692884</v>
      </c>
      <c r="J233" s="279">
        <f>'Resultater - Vestdanmark'!J233+'Resultater - Østdanmark'!J233</f>
        <v>2.4186515108615397E-2</v>
      </c>
    </row>
    <row r="234" spans="1:10" hidden="1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7">
        <f>'Resultater - Vestdanmark'!H234+'Resultater - Østdanmark'!H234</f>
        <v>5615.3101846932177</v>
      </c>
      <c r="I234" s="278">
        <f>'Resultater - Vestdanmark'!I234+'Resultater - Østdanmark'!I234</f>
        <v>0.12445232813503895</v>
      </c>
      <c r="J234" s="279">
        <f>'Resultater - Vestdanmark'!J234+'Resultater - Østdanmark'!J234</f>
        <v>8.8894520096456389E-2</v>
      </c>
    </row>
    <row r="235" spans="1:10" hidden="1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7">
        <f>'Resultater - Vestdanmark'!H235+'Resultater - Østdanmark'!H235</f>
        <v>-3702.2322974288109</v>
      </c>
      <c r="I235" s="278">
        <f>'Resultater - Vestdanmark'!I235+'Resultater - Østdanmark'!I235</f>
        <v>-7.6541708844992534E-2</v>
      </c>
      <c r="J235" s="279">
        <f>'Resultater - Vestdanmark'!J235+'Resultater - Østdanmark'!J235</f>
        <v>-5.4672649174994661E-2</v>
      </c>
    </row>
    <row r="236" spans="1:10" hidden="1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7">
        <f>'Resultater - Vestdanmark'!H236+'Resultater - Østdanmark'!H236</f>
        <v>2021.5024736231753</v>
      </c>
      <c r="I236" s="278">
        <f>'Resultater - Vestdanmark'!I236+'Resultater - Østdanmark'!I236</f>
        <v>4.1793502226469229E-2</v>
      </c>
      <c r="J236" s="279">
        <f>'Resultater - Vestdanmark'!J236+'Resultater - Østdanmark'!J236</f>
        <v>2.9852501590335166E-2</v>
      </c>
    </row>
    <row r="237" spans="1:10" hidden="1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7">
        <f>'Resultater - Vestdanmark'!H237+'Resultater - Østdanmark'!H237</f>
        <v>177251.6737598984</v>
      </c>
      <c r="I237" s="278">
        <f>'Resultater - Vestdanmark'!I237+'Resultater - Østdanmark'!I237</f>
        <v>160091.81949311998</v>
      </c>
      <c r="J237" s="279">
        <f>'Resultater - Vestdanmark'!J237+'Resultater - Østdanmark'!J237</f>
        <v>235788.89915519999</v>
      </c>
    </row>
    <row r="238" spans="1:10" hidden="1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7">
        <f>'Resultater - Vestdanmark'!H238+'Resultater - Østdanmark'!H238</f>
        <v>-294496.94877999288</v>
      </c>
      <c r="I238" s="278">
        <f>'Resultater - Vestdanmark'!I238+'Resultater - Østdanmark'!I238</f>
        <v>-248121.73529999994</v>
      </c>
      <c r="J238" s="279">
        <f>'Resultater - Vestdanmark'!J238+'Resultater - Østdanmark'!J238</f>
        <v>-365442.47549999994</v>
      </c>
    </row>
    <row r="239" spans="1:10" hidden="1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7">
        <f>'Resultater - Vestdanmark'!H239+'Resultater - Østdanmark'!H239</f>
        <v>8701.7031017897862</v>
      </c>
      <c r="I239" s="278">
        <f>'Resultater - Vestdanmark'!I239+'Resultater - Østdanmark'!I239</f>
        <v>7331.4228980159623</v>
      </c>
      <c r="J239" s="279">
        <f>'Resultater - Vestdanmark'!J239+'Resultater - Østdanmark'!J239</f>
        <v>10797.979183681526</v>
      </c>
    </row>
    <row r="240" spans="1:10" hidden="1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7">
        <f>'Resultater - Vestdanmark'!H240+'Resultater - Østdanmark'!H240</f>
        <v>956.40897524289744</v>
      </c>
      <c r="I240" s="278">
        <f>'Resultater - Vestdanmark'!I240+'Resultater - Østdanmark'!I240</f>
        <v>2128.3622941949438</v>
      </c>
      <c r="J240" s="279">
        <f>'Resultater - Vestdanmark'!J240+'Resultater - Østdanmark'!J240</f>
        <v>9.011000585104581E-2</v>
      </c>
    </row>
    <row r="241" spans="1:10" hidden="1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7">
        <f>'Resultater - Vestdanmark'!H241+'Resultater - Østdanmark'!H241</f>
        <v>-1029.9315976049757</v>
      </c>
      <c r="I241" s="278">
        <f>'Resultater - Vestdanmark'!I241+'Resultater - Østdanmark'!I241</f>
        <v>-2138.0384453303823</v>
      </c>
      <c r="J241" s="279">
        <f>'Resultater - Vestdanmark'!J241+'Resultater - Østdanmark'!J241</f>
        <v>-9.0519672023862394E-2</v>
      </c>
    </row>
    <row r="242" spans="1:10" hidden="1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7">
        <f>'Resultater - Vestdanmark'!H242+'Resultater - Østdanmark'!H242</f>
        <v>275.19384007209339</v>
      </c>
      <c r="I242" s="278">
        <f>'Resultater - Vestdanmark'!I242+'Resultater - Østdanmark'!I242</f>
        <v>571.27581225826646</v>
      </c>
      <c r="J242" s="279">
        <f>'Resultater - Vestdanmark'!J242+'Resultater - Østdanmark'!J242</f>
        <v>2.4186515108615397E-2</v>
      </c>
    </row>
    <row r="243" spans="1:10" hidden="1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7">
        <f>'Resultater - Vestdanmark'!H243+'Resultater - Østdanmark'!H243</f>
        <v>409.24977613118875</v>
      </c>
      <c r="I243" s="278">
        <f>'Resultater - Vestdanmark'!I243+'Resultater - Østdanmark'!I243</f>
        <v>3.0401925872988084E-2</v>
      </c>
      <c r="J243" s="279">
        <f>'Resultater - Vestdanmark'!J243+'Resultater - Østdanmark'!J243</f>
        <v>5.0669876454980139E-2</v>
      </c>
    </row>
    <row r="244" spans="1:10" hidden="1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7">
        <f>'Resultater - Vestdanmark'!H244+'Resultater - Østdanmark'!H244</f>
        <v>-269.82262583436852</v>
      </c>
      <c r="I244" s="278">
        <f>'Resultater - Vestdanmark'!I244+'Resultater - Østdanmark'!I244</f>
        <v>-1.8698046017848174E-2</v>
      </c>
      <c r="J244" s="279">
        <f>'Resultater - Vestdanmark'!J244+'Resultater - Østdanmark'!J244</f>
        <v>-3.1163410029746957E-2</v>
      </c>
    </row>
    <row r="245" spans="1:10" hidden="1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7">
        <f>'Resultater - Vestdanmark'!H245+'Resultater - Østdanmark'!H245</f>
        <v>258.47236740588181</v>
      </c>
      <c r="I245" s="278">
        <f>'Resultater - Vestdanmark'!I245+'Resultater - Østdanmark'!I245</f>
        <v>1.79115009542011E-2</v>
      </c>
      <c r="J245" s="279">
        <f>'Resultater - Vestdanmark'!J245+'Resultater - Østdanmark'!J245</f>
        <v>2.9852501590335166E-2</v>
      </c>
    </row>
    <row r="246" spans="1:10" hidden="1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7">
        <f>'Resultater - Vestdanmark'!H246+'Resultater - Østdanmark'!H246</f>
        <v>37068.149941239346</v>
      </c>
      <c r="I246" s="278">
        <f>'Resultater - Vestdanmark'!I246+'Resultater - Østdanmark'!I246</f>
        <v>136951.07393856</v>
      </c>
      <c r="J246" s="279">
        <f>'Resultater - Vestdanmark'!J246+'Resultater - Østdanmark'!J246</f>
        <v>86445.595670399998</v>
      </c>
    </row>
    <row r="247" spans="1:10" hidden="1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7">
        <f>'Resultater - Vestdanmark'!H247+'Resultater - Østdanmark'!H247</f>
        <v>-611253.35592149675</v>
      </c>
      <c r="I247" s="278">
        <f>'Resultater - Vestdanmark'!I247+'Resultater - Østdanmark'!I247</f>
        <v>-2106643.2799999998</v>
      </c>
      <c r="J247" s="279">
        <f>'Resultater - Vestdanmark'!J247+'Resultater - Østdanmark'!J247</f>
        <v>-1329745.2</v>
      </c>
    </row>
    <row r="248" spans="1:10" hidden="1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7">
        <f>'Resultater - Vestdanmark'!H248+'Resultater - Østdanmark'!H248</f>
        <v>8582.4091345819397</v>
      </c>
      <c r="I248" s="278">
        <f>'Resultater - Vestdanmark'!I248+'Resultater - Østdanmark'!I248</f>
        <v>29578.691641407822</v>
      </c>
      <c r="J248" s="279">
        <f>'Resultater - Vestdanmark'!J248+'Resultater - Østdanmark'!J248</f>
        <v>18670.518927363049</v>
      </c>
    </row>
    <row r="249" spans="1:10" hidden="1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7">
        <f>'Resultater - Vestdanmark'!H249+'Resultater - Østdanmark'!H249</f>
        <v>1090.1789727130877</v>
      </c>
      <c r="I249" s="278">
        <f>'Resultater - Vestdanmark'!I249+'Resultater - Østdanmark'!I249</f>
        <v>723.09391951709574</v>
      </c>
      <c r="J249" s="279">
        <f>'Resultater - Vestdanmark'!J249+'Resultater - Østdanmark'!J249</f>
        <v>1.3120348950793998E-2</v>
      </c>
    </row>
    <row r="250" spans="1:10" hidden="1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7">
        <f>'Resultater - Vestdanmark'!H250+'Resultater - Østdanmark'!H250</f>
        <v>-14980.865349414238</v>
      </c>
      <c r="I250" s="278">
        <f>'Resultater - Vestdanmark'!I250+'Resultater - Østdanmark'!I250</f>
        <v>-9269.1310757381925</v>
      </c>
      <c r="J250" s="279">
        <f>'Resultater - Vestdanmark'!J250+'Resultater - Østdanmark'!J250</f>
        <v>-0.16818594500912323</v>
      </c>
    </row>
    <row r="251" spans="1:10" hidden="1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7">
        <f>'Resultater - Vestdanmark'!H251+'Resultater - Østdanmark'!H251</f>
        <v>1140.8671979707708</v>
      </c>
      <c r="I251" s="278">
        <f>'Resultater - Vestdanmark'!I251+'Resultater - Østdanmark'!I251</f>
        <v>705.89030415487389</v>
      </c>
      <c r="J251" s="279">
        <f>'Resultater - Vestdanmark'!J251+'Resultater - Østdanmark'!J251</f>
        <v>1.2808193875671347E-2</v>
      </c>
    </row>
    <row r="252" spans="1:10" hidden="1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7">
        <f>'Resultater - Vestdanmark'!H252+'Resultater - Østdanmark'!H252</f>
        <v>734.97559696711278</v>
      </c>
      <c r="I252" s="278">
        <f>'Resultater - Vestdanmark'!I252+'Resultater - Østdanmark'!I252</f>
        <v>1.6017629647270656E-2</v>
      </c>
      <c r="J252" s="279">
        <f>'Resultater - Vestdanmark'!J252+'Resultater - Østdanmark'!J252</f>
        <v>1.1441164033764757E-2</v>
      </c>
    </row>
    <row r="253" spans="1:10" hidden="1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7">
        <f>'Resultater - Vestdanmark'!H253+'Resultater - Østdanmark'!H253</f>
        <v>-8656.9563835937897</v>
      </c>
      <c r="I253" s="278">
        <f>'Resultater - Vestdanmark'!I253+'Resultater - Østdanmark'!I253</f>
        <v>-0.17599315313088551</v>
      </c>
      <c r="J253" s="279">
        <f>'Resultater - Vestdanmark'!J253+'Resultater - Østdanmark'!J253</f>
        <v>-0.12570939509348966</v>
      </c>
    </row>
    <row r="254" spans="1:10" hidden="1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7">
        <f>'Resultater - Vestdanmark'!H254+'Resultater - Østdanmark'!H254</f>
        <v>1762.4137499845892</v>
      </c>
      <c r="I254" s="278">
        <f>'Resultater - Vestdanmark'!I254+'Resultater - Østdanmark'!I254</f>
        <v>3.5829307580761194E-2</v>
      </c>
      <c r="J254" s="279">
        <f>'Resultater - Vestdanmark'!J254+'Resultater - Østdanmark'!J254</f>
        <v>2.5592362557686568E-2</v>
      </c>
    </row>
    <row r="255" spans="1:10" hidden="1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7">
        <f>'Resultater - Vestdanmark'!H255+'Resultater - Østdanmark'!H255</f>
        <v>2701.5661764156534</v>
      </c>
      <c r="I255" s="278">
        <f>'Resultater - Vestdanmark'!I255+'Resultater - Østdanmark'!I255</f>
        <v>33455.1909192768</v>
      </c>
      <c r="J255" s="279">
        <f>'Resultater - Vestdanmark'!J255+'Resultater - Østdanmark'!J255</f>
        <v>49273.989532127998</v>
      </c>
    </row>
    <row r="256" spans="1:10" hidden="1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7">
        <f>'Resultater - Vestdanmark'!H256+'Resultater - Østdanmark'!H256</f>
        <v>-44548.794428526671</v>
      </c>
      <c r="I256" s="278">
        <f>'Resultater - Vestdanmark'!I256+'Resultater - Østdanmark'!I256</f>
        <v>-514622.85839999997</v>
      </c>
      <c r="J256" s="279">
        <f>'Resultater - Vestdanmark'!J256+'Resultater - Østdanmark'!J256</f>
        <v>-757954.76399999985</v>
      </c>
    </row>
    <row r="257" spans="1:10" hidden="1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7">
        <f>'Resultater - Vestdanmark'!H257+'Resultater - Østdanmark'!H257</f>
        <v>1097.3598281506586</v>
      </c>
      <c r="I257" s="278">
        <f>'Resultater - Vestdanmark'!I257+'Resultater - Østdanmark'!I257</f>
        <v>12676.582132031926</v>
      </c>
      <c r="J257" s="279">
        <f>'Resultater - Vestdanmark'!J257+'Resultater - Østdanmark'!J257</f>
        <v>18670.518927363049</v>
      </c>
    </row>
    <row r="258" spans="1:10" hidden="1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7">
        <f>'Resultater - Vestdanmark'!H258+'Resultater - Østdanmark'!H258</f>
        <v>79.453402546120458</v>
      </c>
      <c r="I258" s="278">
        <f>'Resultater - Vestdanmark'!I258+'Resultater - Østdanmark'!I258</f>
        <v>176.64151462489053</v>
      </c>
      <c r="J258" s="279">
        <f>'Resultater - Vestdanmark'!J258+'Resultater - Østdanmark'!J258</f>
        <v>7.4785989019525781E-3</v>
      </c>
    </row>
    <row r="259" spans="1:10" hidden="1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7">
        <f>'Resultater - Vestdanmark'!H259+'Resultater - Østdanmark'!H259</f>
        <v>-1091.8213934488481</v>
      </c>
      <c r="I259" s="278">
        <f>'Resultater - Vestdanmark'!I259+'Resultater - Østdanmark'!I259</f>
        <v>-2264.3163056446156</v>
      </c>
      <c r="J259" s="279">
        <f>'Resultater - Vestdanmark'!J259+'Resultater - Østdanmark'!J259</f>
        <v>-9.5865988655200227E-2</v>
      </c>
    </row>
    <row r="260" spans="1:10" hidden="1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7">
        <f>'Resultater - Vestdanmark'!H260+'Resultater - Østdanmark'!H260</f>
        <v>145.87300752924452</v>
      </c>
      <c r="I260" s="278">
        <f>'Resultater - Vestdanmark'!I260+'Resultater - Østdanmark'!I260</f>
        <v>302.52441606637456</v>
      </c>
      <c r="J260" s="279">
        <f>'Resultater - Vestdanmark'!J260+'Resultater - Østdanmark'!J260</f>
        <v>1.2808193875671347E-2</v>
      </c>
    </row>
    <row r="261" spans="1:10" hidden="1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7">
        <f>'Resultater - Vestdanmark'!H261+'Resultater - Østdanmark'!H261</f>
        <v>53.565802890212126</v>
      </c>
      <c r="I261" s="278">
        <f>'Resultater - Vestdanmark'!I261+'Resultater - Østdanmark'!I261</f>
        <v>3.9128780995475463E-3</v>
      </c>
      <c r="J261" s="279">
        <f>'Resultater - Vestdanmark'!J261+'Resultater - Østdanmark'!J261</f>
        <v>6.5214634992459093E-3</v>
      </c>
    </row>
    <row r="262" spans="1:10" hidden="1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7">
        <f>'Resultater - Vestdanmark'!H262+'Resultater - Østdanmark'!H262</f>
        <v>-630.92818480815231</v>
      </c>
      <c r="I262" s="278">
        <f>'Resultater - Vestdanmark'!I262+'Resultater - Østdanmark'!I262</f>
        <v>-4.2992613121973458E-2</v>
      </c>
      <c r="J262" s="279">
        <f>'Resultater - Vestdanmark'!J262+'Resultater - Østdanmark'!J262</f>
        <v>-7.1654355203289097E-2</v>
      </c>
    </row>
    <row r="263" spans="1:10" hidden="1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7">
        <f>'Resultater - Vestdanmark'!H263+'Resultater - Østdanmark'!H263</f>
        <v>225.34489086759828</v>
      </c>
      <c r="I263" s="278">
        <f>'Resultater - Vestdanmark'!I263+'Resultater - Østdanmark'!I263</f>
        <v>1.5355417534611939E-2</v>
      </c>
      <c r="J263" s="279">
        <f>'Resultater - Vestdanmark'!J263+'Resultater - Østdanmark'!J263</f>
        <v>2.5592362557686568E-2</v>
      </c>
    </row>
    <row r="264" spans="1:10" hidden="1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7">
        <f>'Resultater - Vestdanmark'!H264+'Resultater - Østdanmark'!H264</f>
        <v>1769792.6482433821</v>
      </c>
      <c r="I264" s="278">
        <f>'Resultater - Vestdanmark'!I264+'Resultater - Østdanmark'!I264</f>
        <v>1344270.6368327183</v>
      </c>
      <c r="J264" s="279">
        <f>'Resultater - Vestdanmark'!J264+'Resultater - Østdanmark'!J264</f>
        <v>848524.02103371313</v>
      </c>
    </row>
    <row r="265" spans="1:10" hidden="1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7">
        <f>'Resultater - Vestdanmark'!H265+'Resultater - Østdanmark'!H265</f>
        <v>-8439338.016000744</v>
      </c>
      <c r="I265" s="278">
        <f>'Resultater - Vestdanmark'!I265+'Resultater - Østdanmark'!I265</f>
        <v>-5979679.7047059219</v>
      </c>
      <c r="J265" s="279">
        <f>'Resultater - Vestdanmark'!J265+'Resultater - Østdanmark'!J265</f>
        <v>-3774464.5523802768</v>
      </c>
    </row>
    <row r="266" spans="1:10" hidden="1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7">
        <f>'Resultater - Vestdanmark'!H266+'Resultater - Østdanmark'!H266</f>
        <v>135050.85263779573</v>
      </c>
      <c r="I266" s="278">
        <f>'Resultater - Vestdanmark'!I266+'Resultater - Østdanmark'!I266</f>
        <v>95690.06965834822</v>
      </c>
      <c r="J266" s="279">
        <f>'Resultater - Vestdanmark'!J266+'Resultater - Østdanmark'!J266</f>
        <v>60401.023763194593</v>
      </c>
    </row>
    <row r="267" spans="1:10" hidden="1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7">
        <f>'Resultater - Vestdanmark'!H267+'Resultater - Østdanmark'!H267</f>
        <v>59344.705933036988</v>
      </c>
      <c r="I267" s="278">
        <f>'Resultater - Vestdanmark'!I267+'Resultater - Østdanmark'!I267</f>
        <v>39353.759567347348</v>
      </c>
      <c r="J267" s="279">
        <f>'Resultater - Vestdanmark'!J267+'Resultater - Østdanmark'!J267</f>
        <v>0.71406361485326919</v>
      </c>
    </row>
    <row r="268" spans="1:10" hidden="1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7">
        <f>'Resultater - Vestdanmark'!H268+'Resultater - Østdanmark'!H268</f>
        <v>-207469.18786644947</v>
      </c>
      <c r="I268" s="278">
        <f>'Resultater - Vestdanmark'!I268+'Resultater - Østdanmark'!I268</f>
        <v>-128340.30509208061</v>
      </c>
      <c r="J268" s="279">
        <f>'Resultater - Vestdanmark'!J268+'Resultater - Østdanmark'!J268</f>
        <v>-2.3287010743812333</v>
      </c>
    </row>
    <row r="269" spans="1:10" hidden="1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7">
        <f>'Resultater - Vestdanmark'!H269+'Resultater - Østdanmark'!H269</f>
        <v>26542.270744245459</v>
      </c>
      <c r="I269" s="278">
        <f>'Resultater - Vestdanmark'!I269+'Resultater - Østdanmark'!I269</f>
        <v>16419.031472499129</v>
      </c>
      <c r="J269" s="279">
        <f>'Resultater - Vestdanmark'!J269+'Resultater - Østdanmark'!J269</f>
        <v>0.29791900683791772</v>
      </c>
    </row>
    <row r="270" spans="1:10" hidden="1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7">
        <f>'Resultater - Vestdanmark'!H270+'Resultater - Østdanmark'!H270</f>
        <v>39757.754782963726</v>
      </c>
      <c r="I270" s="278">
        <f>'Resultater - Vestdanmark'!I270+'Resultater - Østdanmark'!I270</f>
        <v>0.86311641708966347</v>
      </c>
      <c r="J270" s="279">
        <f>'Resultater - Vestdanmark'!J270+'Resultater - Østdanmark'!J270</f>
        <v>0.61651172649261676</v>
      </c>
    </row>
    <row r="271" spans="1:10" hidden="1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7">
        <f>'Resultater - Vestdanmark'!H271+'Resultater - Østdanmark'!H271</f>
        <v>-102854.94948928599</v>
      </c>
      <c r="I271" s="278">
        <f>'Resultater - Vestdanmark'!I271+'Resultater - Østdanmark'!I271</f>
        <v>-2.0829456418561385</v>
      </c>
      <c r="J271" s="279">
        <f>'Resultater - Vestdanmark'!J271+'Resultater - Østdanmark'!J271</f>
        <v>-1.4878183156115277</v>
      </c>
    </row>
    <row r="272" spans="1:10" hidden="1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7">
        <f>'Resultater - Vestdanmark'!H272+'Resultater - Østdanmark'!H272</f>
        <v>39030.898430904032</v>
      </c>
      <c r="I272" s="278">
        <f>'Resultater - Vestdanmark'!I272+'Resultater - Østdanmark'!I272</f>
        <v>0.79042613105215509</v>
      </c>
      <c r="J272" s="279">
        <f>'Resultater - Vestdanmark'!J272+'Resultater - Østdanmark'!J272</f>
        <v>0.56459009360868218</v>
      </c>
    </row>
    <row r="273" spans="1:10" hidden="1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7">
        <f>'Resultater - Vestdanmark'!H273+'Resultater - Østdanmark'!H273</f>
        <v>128984.36974444673</v>
      </c>
      <c r="I273" s="278">
        <f>'Resultater - Vestdanmark'!I273+'Resultater - Østdanmark'!I273</f>
        <v>328386.11271199258</v>
      </c>
      <c r="J273" s="279">
        <f>'Resultater - Vestdanmark'!J273+'Resultater - Østdanmark'!J273</f>
        <v>483658.69198921649</v>
      </c>
    </row>
    <row r="274" spans="1:10" hidden="1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7">
        <f>'Resultater - Vestdanmark'!H274+'Resultater - Østdanmark'!H274</f>
        <v>-615067.9268187969</v>
      </c>
      <c r="I274" s="278">
        <f>'Resultater - Vestdanmark'!I274+'Resultater - Østdanmark'!I274</f>
        <v>-1460750.3278638753</v>
      </c>
      <c r="J274" s="279">
        <f>'Resultater - Vestdanmark'!J274+'Resultater - Østdanmark'!J274</f>
        <v>-2151444.7948567579</v>
      </c>
    </row>
    <row r="275" spans="1:10" hidden="1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7">
        <f>'Resultater - Vestdanmark'!H275+'Resultater - Østdanmark'!H275</f>
        <v>17267.806523585219</v>
      </c>
      <c r="I275" s="278">
        <f>'Resultater - Vestdanmark'!I275+'Resultater - Østdanmark'!I275</f>
        <v>41010.029853577813</v>
      </c>
      <c r="J275" s="279">
        <f>'Resultater - Vestdanmark'!J275+'Resultater - Østdanmark'!J275</f>
        <v>60401.023763194593</v>
      </c>
    </row>
    <row r="276" spans="1:10" hidden="1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7">
        <f>'Resultater - Vestdanmark'!H276+'Resultater - Østdanmark'!H276</f>
        <v>4325.1052602347863</v>
      </c>
      <c r="I276" s="278">
        <f>'Resultater - Vestdanmark'!I276+'Resultater - Østdanmark'!I276</f>
        <v>9613.5612657377078</v>
      </c>
      <c r="J276" s="279">
        <f>'Resultater - Vestdanmark'!J276+'Resultater - Østdanmark'!J276</f>
        <v>0.40701626046636341</v>
      </c>
    </row>
    <row r="277" spans="1:10" hidden="1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7">
        <f>'Resultater - Vestdanmark'!H277+'Resultater - Østdanmark'!H277</f>
        <v>-15120.574980864158</v>
      </c>
      <c r="I277" s="278">
        <f>'Resultater - Vestdanmark'!I277+'Resultater - Østdanmark'!I277</f>
        <v>-31351.703101065406</v>
      </c>
      <c r="J277" s="279">
        <f>'Resultater - Vestdanmark'!J277+'Resultater - Østdanmark'!J277</f>
        <v>-1.327359612397303</v>
      </c>
    </row>
    <row r="278" spans="1:10" hidden="1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7">
        <f>'Resultater - Vestdanmark'!H278+'Resultater - Østdanmark'!H278</f>
        <v>3393.7349298895001</v>
      </c>
      <c r="I278" s="278">
        <f>'Resultater - Vestdanmark'!I278+'Resultater - Østdanmark'!I278</f>
        <v>7036.7277739281972</v>
      </c>
      <c r="J278" s="279">
        <f>'Resultater - Vestdanmark'!J278+'Resultater - Østdanmark'!J278</f>
        <v>0.29791900683791772</v>
      </c>
    </row>
    <row r="279" spans="1:10" hidden="1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7">
        <f>'Resultater - Vestdanmark'!H279+'Resultater - Østdanmark'!H279</f>
        <v>2897.587436711749</v>
      </c>
      <c r="I279" s="278">
        <f>'Resultater - Vestdanmark'!I279+'Resultater - Østdanmark'!I279</f>
        <v>0.21084701046047491</v>
      </c>
      <c r="J279" s="279">
        <f>'Resultater - Vestdanmark'!J279+'Resultater - Østdanmark'!J279</f>
        <v>0.35141168410079149</v>
      </c>
    </row>
    <row r="280" spans="1:10" hidden="1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7">
        <f>'Resultater - Vestdanmark'!H280+'Resultater - Østdanmark'!H280</f>
        <v>-7496.1780681710807</v>
      </c>
      <c r="I280" s="278">
        <f>'Resultater - Vestdanmark'!I280+'Resultater - Østdanmark'!I280</f>
        <v>-0.50883386393914243</v>
      </c>
      <c r="J280" s="279">
        <f>'Resultater - Vestdanmark'!J280+'Resultater - Østdanmark'!J280</f>
        <v>-0.84805643989857071</v>
      </c>
    </row>
    <row r="281" spans="1:10" hidden="1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7">
        <f>'Resultater - Vestdanmark'!H281+'Resultater - Østdanmark'!H281</f>
        <v>4990.5497772321014</v>
      </c>
      <c r="I281" s="278">
        <f>'Resultater - Vestdanmark'!I281+'Resultater - Østdanmark'!I281</f>
        <v>0.33875405616520932</v>
      </c>
      <c r="J281" s="279">
        <f>'Resultater - Vestdanmark'!J281+'Resultater - Østdanmark'!J281</f>
        <v>0.56459009360868218</v>
      </c>
    </row>
    <row r="282" spans="1:10" hidden="1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7">
        <f>'Resultater - Vestdanmark'!H282+'Resultater - Østdanmark'!H282</f>
        <v>6805636.3914233753</v>
      </c>
      <c r="I282" s="278">
        <f>'Resultater - Vestdanmark'!I282+'Resultater - Østdanmark'!I282</f>
        <v>3589924.7944671996</v>
      </c>
      <c r="J282" s="279">
        <f>'Resultater - Vestdanmark'!J282+'Resultater - Østdanmark'!J282</f>
        <v>1812811.9968384001</v>
      </c>
    </row>
    <row r="283" spans="1:10" hidden="1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7">
        <f>'Resultater - Vestdanmark'!H283+'Resultater - Østdanmark'!H283</f>
        <v>-24464206.304824531</v>
      </c>
      <c r="I283" s="278">
        <f>'Resultater - Vestdanmark'!I283+'Resultater - Østdanmark'!I283</f>
        <v>-12037961.599999998</v>
      </c>
      <c r="J283" s="279">
        <f>'Resultater - Vestdanmark'!J283+'Resultater - Østdanmark'!J283</f>
        <v>-6078835.1999999993</v>
      </c>
    </row>
    <row r="284" spans="1:10" hidden="1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7">
        <f>'Resultater - Vestdanmark'!H284+'Resultater - Østdanmark'!H284</f>
        <v>347650.80050176143</v>
      </c>
      <c r="I284" s="278">
        <f>'Resultater - Vestdanmark'!I284+'Resultater - Østdanmark'!I284</f>
        <v>171066.5342870391</v>
      </c>
      <c r="J284" s="279">
        <f>'Resultater - Vestdanmark'!J284+'Resultater - Østdanmark'!J284</f>
        <v>86383.833469452205</v>
      </c>
    </row>
    <row r="285" spans="1:10" hidden="1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7">
        <f>'Resultater - Vestdanmark'!H285+'Resultater - Østdanmark'!H285</f>
        <v>271759.53465639014</v>
      </c>
      <c r="I285" s="278">
        <f>'Resultater - Vestdanmark'!I285+'Resultater - Østdanmark'!I285</f>
        <v>180188.35381445673</v>
      </c>
      <c r="J285" s="279">
        <f>'Resultater - Vestdanmark'!J285+'Resultater - Østdanmark'!J285</f>
        <v>3.2694702791723236</v>
      </c>
    </row>
    <row r="286" spans="1:10" hidden="1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7">
        <f>'Resultater - Vestdanmark'!H286+'Resultater - Østdanmark'!H286</f>
        <v>-661438.24431458686</v>
      </c>
      <c r="I286" s="278">
        <f>'Resultater - Vestdanmark'!I286+'Resultater - Østdanmark'!I286</f>
        <v>-409106.56075454579</v>
      </c>
      <c r="J286" s="279">
        <f>'Resultater - Vestdanmark'!J286+'Resultater - Østdanmark'!J286</f>
        <v>-7.4231309243143748</v>
      </c>
    </row>
    <row r="287" spans="1:10" hidden="1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7">
        <f>'Resultater - Vestdanmark'!H287+'Resultater - Østdanmark'!H287</f>
        <v>81365.524969577309</v>
      </c>
      <c r="I287" s="278">
        <f>'Resultater - Vestdanmark'!I287+'Resultater - Østdanmark'!I287</f>
        <v>50325.439102460135</v>
      </c>
      <c r="J287" s="279">
        <f>'Resultater - Vestdanmark'!J287+'Resultater - Østdanmark'!J287</f>
        <v>0.9131418537805025</v>
      </c>
    </row>
    <row r="288" spans="1:10" hidden="1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7">
        <f>'Resultater - Vestdanmark'!H288+'Resultater - Østdanmark'!H288</f>
        <v>107772.91589565421</v>
      </c>
      <c r="I288" s="278">
        <f>'Resultater - Vestdanmark'!I288+'Resultater - Østdanmark'!I288</f>
        <v>2.3335295646007843</v>
      </c>
      <c r="J288" s="279">
        <f>'Resultater - Vestdanmark'!J288+'Resultater - Østdanmark'!J288</f>
        <v>1.6668068318577032</v>
      </c>
    </row>
    <row r="289" spans="1:10" hidden="1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7">
        <f>'Resultater - Vestdanmark'!H289+'Resultater - Østdanmark'!H289</f>
        <v>-172951.36870631672</v>
      </c>
      <c r="I289" s="278">
        <f>'Resultater - Vestdanmark'!I289+'Resultater - Østdanmark'!I289</f>
        <v>-3.493275936351933</v>
      </c>
      <c r="J289" s="279">
        <f>'Resultater - Vestdanmark'!J289+'Resultater - Østdanmark'!J289</f>
        <v>-2.4951970973942381</v>
      </c>
    </row>
    <row r="290" spans="1:10" hidden="1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7">
        <f>'Resultater - Vestdanmark'!H290+'Resultater - Østdanmark'!H290</f>
        <v>70826.515916993711</v>
      </c>
      <c r="I290" s="278">
        <f>'Resultater - Vestdanmark'!I290+'Resultater - Østdanmark'!I290</f>
        <v>1.4305556848677592</v>
      </c>
      <c r="J290" s="279">
        <f>'Resultater - Vestdanmark'!J290+'Resultater - Østdanmark'!J290</f>
        <v>1.0218254891912566</v>
      </c>
    </row>
    <row r="291" spans="1:10" hidden="1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7">
        <f>'Resultater - Vestdanmark'!H291+'Resultater - Østdanmark'!H291</f>
        <v>722248.54897796328</v>
      </c>
      <c r="I291" s="278">
        <f>'Resultater - Vestdanmark'!I291+'Resultater - Østdanmark'!I291</f>
        <v>1276987.5340319038</v>
      </c>
      <c r="J291" s="279">
        <f>'Resultater - Vestdanmark'!J291+'Resultater - Østdanmark'!J291</f>
        <v>1504633.9573758722</v>
      </c>
    </row>
    <row r="292" spans="1:10" hidden="1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7">
        <f>'Resultater - Vestdanmark'!H292+'Resultater - Østdanmark'!H292</f>
        <v>-2596265.2850252553</v>
      </c>
      <c r="I292" s="278">
        <f>'Resultater - Vestdanmark'!I292+'Resultater - Østdanmark'!I292</f>
        <v>-4282074.9119999986</v>
      </c>
      <c r="J292" s="279">
        <f>'Resultater - Vestdanmark'!J292+'Resultater - Østdanmark'!J292</f>
        <v>-5045433.2159999991</v>
      </c>
    </row>
    <row r="293" spans="1:10" hidden="1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7">
        <f>'Resultater - Vestdanmark'!H293+'Resultater - Østdanmark'!H293</f>
        <v>44451.157794126186</v>
      </c>
      <c r="I293" s="278">
        <f>'Resultater - Vestdanmark'!I293+'Resultater - Østdanmark'!I293</f>
        <v>73314.22898015962</v>
      </c>
      <c r="J293" s="279">
        <f>'Resultater - Vestdanmark'!J293+'Resultater - Østdanmark'!J293</f>
        <v>86383.833469452205</v>
      </c>
    </row>
    <row r="294" spans="1:10" hidden="1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7">
        <f>'Resultater - Vestdanmark'!H294+'Resultater - Østdanmark'!H294</f>
        <v>28840.49606644551</v>
      </c>
      <c r="I294" s="278">
        <f>'Resultater - Vestdanmark'!I294+'Resultater - Østdanmark'!I294</f>
        <v>64095.571571142464</v>
      </c>
      <c r="J294" s="279">
        <f>'Resultater - Vestdanmark'!J294+'Resultater - Østdanmark'!J294</f>
        <v>2.7136603317130277</v>
      </c>
    </row>
    <row r="295" spans="1:10" hidden="1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7">
        <f>'Resultater - Vestdanmark'!H295+'Resultater - Østdanmark'!H295</f>
        <v>-70195.171284316559</v>
      </c>
      <c r="I295" s="278">
        <f>'Resultater - Vestdanmark'!I295+'Resultater - Østdanmark'!I295</f>
        <v>-145525.04803983128</v>
      </c>
      <c r="J295" s="279">
        <f>'Resultater - Vestdanmark'!J295+'Resultater - Østdanmark'!J295</f>
        <v>-6.1611986671809307</v>
      </c>
    </row>
    <row r="296" spans="1:10" hidden="1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7">
        <f>'Resultater - Vestdanmark'!H296+'Resultater - Østdanmark'!H296</f>
        <v>10403.519233105488</v>
      </c>
      <c r="I296" s="278">
        <f>'Resultater - Vestdanmark'!I296+'Resultater - Østdanmark'!I296</f>
        <v>21568.045329625777</v>
      </c>
      <c r="J296" s="279">
        <f>'Resultater - Vestdanmark'!J296+'Resultater - Østdanmark'!J296</f>
        <v>0.9131418537805025</v>
      </c>
    </row>
    <row r="297" spans="1:10" hidden="1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7">
        <f>'Resultater - Vestdanmark'!H297+'Resultater - Østdanmark'!H297</f>
        <v>11437.406826914037</v>
      </c>
      <c r="I297" s="278">
        <f>'Resultater - Vestdanmark'!I297+'Resultater - Østdanmark'!I297</f>
        <v>0.83006980226513605</v>
      </c>
      <c r="J297" s="279">
        <f>'Resultater - Vestdanmark'!J297+'Resultater - Østdanmark'!J297</f>
        <v>1.3834496704418935</v>
      </c>
    </row>
    <row r="298" spans="1:10" hidden="1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7">
        <f>'Resultater - Vestdanmark'!H298+'Resultater - Østdanmark'!H298</f>
        <v>-18354.473837201975</v>
      </c>
      <c r="I298" s="278">
        <f>'Resultater - Vestdanmark'!I298+'Resultater - Østdanmark'!I298</f>
        <v>-1.2426081545023304</v>
      </c>
      <c r="J298" s="279">
        <f>'Resultater - Vestdanmark'!J298+'Resultater - Østdanmark'!J298</f>
        <v>-2.0710135908372176</v>
      </c>
    </row>
    <row r="299" spans="1:10" hidden="1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7">
        <f>'Resultater - Vestdanmark'!H299+'Resultater - Østdanmark'!H299</f>
        <v>9055.9855765916054</v>
      </c>
      <c r="I299" s="278">
        <f>'Resultater - Vestdanmark'!I299+'Resultater - Østdanmark'!I299</f>
        <v>0.61309529351475389</v>
      </c>
      <c r="J299" s="279">
        <f>'Resultater - Vestdanmark'!J299+'Resultater - Østdanmark'!J299</f>
        <v>1.0218254891912566</v>
      </c>
    </row>
    <row r="300" spans="1:10" hidden="1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7">
        <f>'Resultater - Vestdanmark'!H300+'Resultater - Østdanmark'!H300</f>
        <v>614076.2528869072</v>
      </c>
      <c r="I300" s="278">
        <f>'Resultater - Vestdanmark'!I300+'Resultater - Østdanmark'!I300</f>
        <v>645879.97650175996</v>
      </c>
      <c r="J300" s="279">
        <f>'Resultater - Vestdanmark'!J300+'Resultater - Østdanmark'!J300</f>
        <v>461450.45886720001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7">
        <f>'Resultater - Vestdanmark'!H301+'Resultater - Østdanmark'!H301</f>
        <v>327981.19704816159</v>
      </c>
      <c r="I301" s="278">
        <f>'Resultater - Vestdanmark'!I301+'Resultater - Østdanmark'!I301</f>
        <v>435155.60916827992</v>
      </c>
      <c r="J301" s="279">
        <f>'Resultater - Vestdanmark'!J301+'Resultater - Østdanmark'!J301</f>
        <v>383537.64818159991</v>
      </c>
    </row>
    <row r="302" spans="1:10" hidden="1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7">
        <f>'Resultater - Vestdanmark'!H302+'Resultater - Østdanmark'!H302</f>
        <v>-24423487.330729261</v>
      </c>
      <c r="I302" s="278">
        <f>'Resultater - Vestdanmark'!I302+'Resultater - Østdanmark'!I302</f>
        <v>-23963067.309999995</v>
      </c>
      <c r="J302" s="279">
        <f>'Resultater - Vestdanmark'!J302+'Resultater - Østdanmark'!J302</f>
        <v>-17120469.449999996</v>
      </c>
    </row>
    <row r="303" spans="1:10" hidden="1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7">
        <f>'Resultater - Vestdanmark'!H303+'Resultater - Østdanmark'!H303</f>
        <v>317323.11758989503</v>
      </c>
      <c r="I303" s="278">
        <f>'Resultater - Vestdanmark'!I303+'Resultater - Østdanmark'!I303</f>
        <v>311341.09240241116</v>
      </c>
      <c r="J303" s="279">
        <f>'Resultater - Vestdanmark'!J303+'Resultater - Østdanmark'!J303</f>
        <v>222438.37118383939</v>
      </c>
    </row>
    <row r="304" spans="1:10" hidden="1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7">
        <f>'Resultater - Vestdanmark'!H304+'Resultater - Østdanmark'!H304</f>
        <v>13323.118692618173</v>
      </c>
      <c r="I304" s="278">
        <f>'Resultater - Vestdanmark'!I304+'Resultater - Østdanmark'!I304</f>
        <v>8835.9000932376639</v>
      </c>
      <c r="J304" s="279">
        <f>'Resultater - Vestdanmark'!J304+'Resultater - Østdanmark'!J304</f>
        <v>0.16032508279836802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7">
        <f>'Resultater - Vestdanmark'!H305+'Resultater - Østdanmark'!H305</f>
        <v>7115.9443093208292</v>
      </c>
      <c r="I305" s="278">
        <f>'Resultater - Vestdanmark'!I305+'Resultater - Østdanmark'!I305</f>
        <v>5953.1052633777072</v>
      </c>
      <c r="J305" s="279">
        <f>'Resultater - Vestdanmark'!J305+'Resultater - Østdanmark'!J305</f>
        <v>0.13325526937812116</v>
      </c>
    </row>
    <row r="306" spans="1:10" hidden="1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7">
        <f>'Resultater - Vestdanmark'!H306+'Resultater - Østdanmark'!H306</f>
        <v>-365881.10046015814</v>
      </c>
      <c r="I306" s="278">
        <f>'Resultater - Vestdanmark'!I306+'Resultater - Østdanmark'!I306</f>
        <v>-226354.99942041587</v>
      </c>
      <c r="J306" s="279">
        <f>'Resultater - Vestdanmark'!J306+'Resultater - Østdanmark'!J306</f>
        <v>-4.107151918985215</v>
      </c>
    </row>
    <row r="307" spans="1:10" hidden="1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7">
        <f>'Resultater - Vestdanmark'!H307+'Resultater - Østdanmark'!H307</f>
        <v>40352.129195848909</v>
      </c>
      <c r="I307" s="278">
        <f>'Resultater - Vestdanmark'!I307+'Resultater - Østdanmark'!I307</f>
        <v>24964.137719197512</v>
      </c>
      <c r="J307" s="279">
        <f>'Resultater - Vestdanmark'!J307+'Resultater - Østdanmark'!J307</f>
        <v>0.45296771178788253</v>
      </c>
    </row>
    <row r="308" spans="1:10" hidden="1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7">
        <f>'Resultater - Vestdanmark'!H308+'Resultater - Østdanmark'!H308</f>
        <v>6434.7975318427207</v>
      </c>
      <c r="I308" s="278">
        <f>'Resultater - Vestdanmark'!I308+'Resultater - Østdanmark'!I308</f>
        <v>0.13993355711300653</v>
      </c>
      <c r="J308" s="279">
        <f>'Resultater - Vestdanmark'!J308+'Resultater - Østdanmark'!J308</f>
        <v>9.9952540795004693E-2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7">
        <f>'Resultater - Vestdanmark'!H309+'Resultater - Østdanmark'!H309</f>
        <v>3436.8575357448558</v>
      </c>
      <c r="I309" s="278">
        <f>'Resultater - Vestdanmark'!I309+'Resultater - Østdanmark'!I309</f>
        <v>9.4278928754541941E-2</v>
      </c>
      <c r="J309" s="279">
        <f>'Resultater - Vestdanmark'!J309+'Resultater - Østdanmark'!J309</f>
        <v>8.3076225604803336E-2</v>
      </c>
    </row>
    <row r="310" spans="1:10" hidden="1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7">
        <f>'Resultater - Vestdanmark'!H310+'Resultater - Østdanmark'!H310</f>
        <v>-120130.14872758326</v>
      </c>
      <c r="I310" s="278">
        <f>'Resultater - Vestdanmark'!I310+'Resultater - Østdanmark'!I310</f>
        <v>-2.4369365229446949</v>
      </c>
      <c r="J310" s="279">
        <f>'Resultater - Vestdanmark'!J310+'Resultater - Østdanmark'!J310</f>
        <v>-1.7406689449604966</v>
      </c>
    </row>
    <row r="311" spans="1:10" hidden="1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7">
        <f>'Resultater - Vestdanmark'!H311+'Resultater - Østdanmark'!H311</f>
        <v>42778.549000109218</v>
      </c>
      <c r="I311" s="278">
        <f>'Resultater - Vestdanmark'!I311+'Resultater - Østdanmark'!I311</f>
        <v>0.8677972146138595</v>
      </c>
      <c r="J311" s="279">
        <f>'Resultater - Vestdanmark'!J311+'Resultater - Østdanmark'!J311</f>
        <v>0.61985515329561403</v>
      </c>
    </row>
    <row r="312" spans="1:10" hidden="1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7">
        <f>'Resultater - Vestdanmark'!H312+'Resultater - Østdanmark'!H312</f>
        <v>43184.19576890875</v>
      </c>
      <c r="I312" s="278">
        <f>'Resultater - Vestdanmark'!I312+'Resultater - Østdanmark'!I312</f>
        <v>152243.137318272</v>
      </c>
      <c r="J312" s="279">
        <f>'Resultater - Vestdanmark'!J312+'Resultater - Østdanmark'!J312</f>
        <v>253797.75237696001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7">
        <f>'Resultater - Vestdanmark'!H313+'Resultater - Østdanmark'!H313</f>
        <v>23064.894881153006</v>
      </c>
      <c r="I313" s="278">
        <f>'Resultater - Vestdanmark'!I313+'Resultater - Østdanmark'!I313</f>
        <v>102572.39358966598</v>
      </c>
      <c r="J313" s="279">
        <f>'Resultater - Vestdanmark'!J313+'Resultater - Østdanmark'!J313</f>
        <v>210945.70649988001</v>
      </c>
    </row>
    <row r="314" spans="1:10" hidden="1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7">
        <f>'Resultater - Vestdanmark'!H314+'Resultater - Østdanmark'!H314</f>
        <v>-1717553.2408088709</v>
      </c>
      <c r="I314" s="278">
        <f>'Resultater - Vestdanmark'!I314+'Resultater - Østdanmark'!I314</f>
        <v>-5648437.2944999998</v>
      </c>
      <c r="J314" s="279">
        <f>'Resultater - Vestdanmark'!J314+'Resultater - Østdanmark'!J314</f>
        <v>-9416258.1974999998</v>
      </c>
    </row>
    <row r="315" spans="1:10" hidden="1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7">
        <f>'Resultater - Vestdanmark'!H315+'Resultater - Østdanmark'!H315</f>
        <v>40573.414332296394</v>
      </c>
      <c r="I315" s="278">
        <f>'Resultater - Vestdanmark'!I315+'Resultater - Østdanmark'!I315</f>
        <v>133431.89674389051</v>
      </c>
      <c r="J315" s="279">
        <f>'Resultater - Vestdanmark'!J315+'Resultater - Østdanmark'!J315</f>
        <v>222438.37118383939</v>
      </c>
    </row>
    <row r="316" spans="1:10" hidden="1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7">
        <f>'Resultater - Vestdanmark'!H316+'Resultater - Østdanmark'!H316</f>
        <v>936.9327720614383</v>
      </c>
      <c r="I316" s="278">
        <f>'Resultater - Vestdanmark'!I316+'Resultater - Østdanmark'!I316</f>
        <v>2082.7478791203062</v>
      </c>
      <c r="J316" s="279">
        <f>'Resultater - Vestdanmark'!J316+'Resultater - Østdanmark'!J316</f>
        <v>8.8178795539102406E-2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7">
        <f>'Resultater - Vestdanmark'!H317+'Resultater - Østdanmark'!H317</f>
        <v>500.42047822187442</v>
      </c>
      <c r="I317" s="278">
        <f>'Resultater - Vestdanmark'!I317+'Resultater - Østdanmark'!I317</f>
        <v>1403.2319549390304</v>
      </c>
      <c r="J317" s="279">
        <f>'Resultater - Vestdanmark'!J317+'Resultater - Østdanmark'!J317</f>
        <v>7.3290398157966632E-2</v>
      </c>
    </row>
    <row r="318" spans="1:10" hidden="1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7">
        <f>'Resultater - Vestdanmark'!H318+'Resultater - Østdanmark'!H318</f>
        <v>-25730.161353959949</v>
      </c>
      <c r="I318" s="278">
        <f>'Resultater - Vestdanmark'!I318+'Resultater - Østdanmark'!I318</f>
        <v>-53355.107006240869</v>
      </c>
      <c r="J318" s="279">
        <f>'Resultater - Vestdanmark'!J318+'Resultater - Østdanmark'!J318</f>
        <v>-2.2589335554418684</v>
      </c>
    </row>
    <row r="319" spans="1:10" hidden="1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7">
        <f>'Resultater - Vestdanmark'!H319+'Resultater - Østdanmark'!H319</f>
        <v>5159.4843435562807</v>
      </c>
      <c r="I319" s="278">
        <f>'Resultater - Vestdanmark'!I319+'Resultater - Østdanmark'!I319</f>
        <v>10698.91616537036</v>
      </c>
      <c r="J319" s="279">
        <f>'Resultater - Vestdanmark'!J319+'Resultater - Østdanmark'!J319</f>
        <v>0.45296771178788253</v>
      </c>
    </row>
    <row r="320" spans="1:10" hidden="1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7">
        <f>'Resultater - Vestdanmark'!H320+'Resultater - Østdanmark'!H320</f>
        <v>452.51962609204435</v>
      </c>
      <c r="I320" s="278">
        <f>'Resultater - Vestdanmark'!I320+'Resultater - Østdanmark'!I320</f>
        <v>3.2984338462351548E-2</v>
      </c>
      <c r="J320" s="279">
        <f>'Resultater - Vestdanmark'!J320+'Resultater - Østdanmark'!J320</f>
        <v>5.4973897437252582E-2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7">
        <f>'Resultater - Vestdanmark'!H321+'Resultater - Østdanmark'!H321</f>
        <v>241.69299489389135</v>
      </c>
      <c r="I321" s="278">
        <f>'Resultater - Vestdanmark'!I321+'Resultater - Østdanmark'!I321</f>
        <v>2.2222890349284891E-2</v>
      </c>
      <c r="J321" s="279">
        <f>'Resultater - Vestdanmark'!J321+'Resultater - Østdanmark'!J321</f>
        <v>4.569192408264184E-2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7">
        <f>'Resultater - Vestdanmark'!H322+'Resultater - Østdanmark'!H322</f>
        <v>-8448.0125000949847</v>
      </c>
      <c r="I322" s="278">
        <f>'Resultater - Vestdanmark'!I322+'Resultater - Østdanmark'!I322</f>
        <v>-0.57442075183696395</v>
      </c>
      <c r="J322" s="279">
        <f>'Resultater - Vestdanmark'!J322+'Resultater - Østdanmark'!J322</f>
        <v>-0.95736791972827329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7">
        <f>'Resultater - Vestdanmark'!H323+'Resultater - Østdanmark'!H323</f>
        <v>5469.7300540171764</v>
      </c>
      <c r="I323" s="278">
        <f>'Resultater - Vestdanmark'!I323+'Resultater - Østdanmark'!I323</f>
        <v>0.37191309197736844</v>
      </c>
      <c r="J323" s="279">
        <f>'Resultater - Vestdanmark'!J323+'Resultater - Østdanmark'!J323</f>
        <v>0.61985515329561403</v>
      </c>
    </row>
    <row r="324" spans="1:10" hidden="1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7">
        <f>'Resultater - Vestdanmark'!H324+'Resultater - Østdanmark'!H324</f>
        <v>1244876.7164053498</v>
      </c>
      <c r="I324" s="278">
        <f>'Resultater - Vestdanmark'!I324+'Resultater - Østdanmark'!I324</f>
        <v>931078.44500061416</v>
      </c>
      <c r="J324" s="279">
        <f>'Resultater - Vestdanmark'!J324+'Resultater - Østdanmark'!J324</f>
        <v>587710.84066165716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7">
        <f>'Resultater - Vestdanmark'!H325+'Resultater - Østdanmark'!H325</f>
        <v>206810.63376166133</v>
      </c>
      <c r="I325" s="278">
        <f>'Resultater - Vestdanmark'!I325+'Resultater - Østdanmark'!I325</f>
        <v>195118.70974010916</v>
      </c>
      <c r="J325" s="279">
        <f>'Resultater - Vestdanmark'!J325+'Resultater - Østdanmark'!J325</f>
        <v>151938.03239834189</v>
      </c>
    </row>
    <row r="326" spans="1:10" hidden="1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7">
        <f>'Resultater - Vestdanmark'!H326+'Resultater - Østdanmark'!H326</f>
        <v>-13068327.181838907</v>
      </c>
      <c r="I326" s="278">
        <f>'Resultater - Vestdanmark'!I326+'Resultater - Østdanmark'!I326</f>
        <v>-9117696.7168275304</v>
      </c>
      <c r="J326" s="279">
        <f>'Resultater - Vestdanmark'!J326+'Resultater - Østdanmark'!J326</f>
        <v>-5755228.4999371925</v>
      </c>
    </row>
    <row r="327" spans="1:10" hidden="1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7">
        <f>'Resultater - Vestdanmark'!H327+'Resultater - Østdanmark'!H327</f>
        <v>198089.21270536177</v>
      </c>
      <c r="I327" s="278">
        <f>'Resultater - Vestdanmark'!I327+'Resultater - Østdanmark'!I327</f>
        <v>138205.7044632762</v>
      </c>
      <c r="J327" s="279">
        <f>'Resultater - Vestdanmark'!J327+'Resultater - Østdanmark'!J327</f>
        <v>87237.537492659932</v>
      </c>
    </row>
    <row r="328" spans="1:10" hidden="1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7">
        <f>'Resultater - Vestdanmark'!H328+'Resultater - Østdanmark'!H328</f>
        <v>83193.972065214504</v>
      </c>
      <c r="I328" s="278">
        <f>'Resultater - Vestdanmark'!I328+'Resultater - Østdanmark'!I328</f>
        <v>55184.024514283155</v>
      </c>
      <c r="J328" s="279">
        <f>'Resultater - Vestdanmark'!J328+'Resultater - Østdanmark'!J328</f>
        <v>1.0012996079683041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7">
        <f>'Resultater - Vestdanmark'!H329+'Resultater - Østdanmark'!H329</f>
        <v>13820.965450810663</v>
      </c>
      <c r="I329" s="278">
        <f>'Resultater - Vestdanmark'!I329+'Resultater - Østdanmark'!I329</f>
        <v>11564.47742862996</v>
      </c>
      <c r="J329" s="279">
        <f>'Resultater - Vestdanmark'!J329+'Resultater - Østdanmark'!J329</f>
        <v>0.25886112991323751</v>
      </c>
    </row>
    <row r="330" spans="1:10" hidden="1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7">
        <f>'Resultater - Vestdanmark'!H330+'Resultater - Østdanmark'!H330</f>
        <v>-655008.26237096614</v>
      </c>
      <c r="I330" s="278">
        <f>'Resultater - Vestdanmark'!I330+'Resultater - Østdanmark'!I330</f>
        <v>-405297.10614357336</v>
      </c>
      <c r="J330" s="279">
        <f>'Resultater - Vestdanmark'!J330+'Resultater - Østdanmark'!J330</f>
        <v>-7.3540093725351552</v>
      </c>
    </row>
    <row r="331" spans="1:10" hidden="1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7">
        <f>'Resultater - Vestdanmark'!H331+'Resultater - Østdanmark'!H331</f>
        <v>77590.310666771984</v>
      </c>
      <c r="I331" s="278">
        <f>'Resultater - Vestdanmark'!I331+'Resultater - Østdanmark'!I331</f>
        <v>48010.277403513617</v>
      </c>
      <c r="J331" s="279">
        <f>'Resultater - Vestdanmark'!J331+'Resultater - Østdanmark'!J331</f>
        <v>0.87113385378670904</v>
      </c>
    </row>
    <row r="332" spans="1:10" hidden="1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7">
        <f>'Resultater - Vestdanmark'!H332+'Resultater - Østdanmark'!H332</f>
        <v>72418.22612376757</v>
      </c>
      <c r="I332" s="278">
        <f>'Resultater - Vestdanmark'!I332+'Resultater - Østdanmark'!I332</f>
        <v>1.579843650126467</v>
      </c>
      <c r="J332" s="279">
        <f>'Resultater - Vestdanmark'!J332+'Resultater - Østdanmark'!J332</f>
        <v>1.1284597500903337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7">
        <f>'Resultater - Vestdanmark'!H333+'Resultater - Østdanmark'!H333</f>
        <v>12030.797140939529</v>
      </c>
      <c r="I333" s="278">
        <f>'Resultater - Vestdanmark'!I333+'Resultater - Østdanmark'!I333</f>
        <v>0.33107527755470412</v>
      </c>
      <c r="J333" s="279">
        <f>'Resultater - Vestdanmark'!J333+'Resultater - Østdanmark'!J333</f>
        <v>0.29173522454753636</v>
      </c>
    </row>
    <row r="334" spans="1:10" hidden="1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7">
        <f>'Resultater - Vestdanmark'!H334+'Resultater - Østdanmark'!H334</f>
        <v>-434413.67575579346</v>
      </c>
      <c r="I334" s="278">
        <f>'Resultater - Vestdanmark'!I334+'Resultater - Østdanmark'!I334</f>
        <v>-8.840461349925345</v>
      </c>
      <c r="J334" s="279">
        <f>'Resultater - Vestdanmark'!J334+'Resultater - Østdanmark'!J334</f>
        <v>-6.3146152499466748</v>
      </c>
    </row>
    <row r="335" spans="1:10" hidden="1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7">
        <f>'Resultater - Vestdanmark'!H335+'Resultater - Østdanmark'!H335</f>
        <v>148249.80065505981</v>
      </c>
      <c r="I335" s="278">
        <f>'Resultater - Vestdanmark'!I335+'Resultater - Østdanmark'!I335</f>
        <v>3.0169322605809219</v>
      </c>
      <c r="J335" s="279">
        <f>'Resultater - Vestdanmark'!J335+'Resultater - Østdanmark'!J335</f>
        <v>2.154951614700658</v>
      </c>
    </row>
    <row r="336" spans="1:10" hidden="1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7">
        <f>'Resultater - Vestdanmark'!H336+'Resultater - Østdanmark'!H336</f>
        <v>90727.938572043873</v>
      </c>
      <c r="I336" s="278">
        <f>'Resultater - Vestdanmark'!I336+'Resultater - Østdanmark'!I336</f>
        <v>227449.16299300719</v>
      </c>
      <c r="J336" s="279">
        <f>'Resultater - Vestdanmark'!J336+'Resultater - Østdanmark'!J336</f>
        <v>334995.17917714454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7">
        <f>'Resultater - Vestdanmark'!H337+'Resultater - Østdanmark'!H337</f>
        <v>15072.578857570828</v>
      </c>
      <c r="I337" s="278">
        <f>'Resultater - Vestdanmark'!I337+'Resultater - Østdanmark'!I337</f>
        <v>47664.713379369517</v>
      </c>
      <c r="J337" s="279">
        <f>'Resultater - Vestdanmark'!J337+'Resultater - Østdanmark'!J337</f>
        <v>86604.67846705488</v>
      </c>
    </row>
    <row r="338" spans="1:10" hidden="1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7">
        <f>'Resultater - Vestdanmark'!H338+'Resultater - Østdanmark'!H338</f>
        <v>-952433.57849676628</v>
      </c>
      <c r="I338" s="278">
        <f>'Resultater - Vestdanmark'!I338+'Resultater - Østdanmark'!I338</f>
        <v>-2227323.0551107246</v>
      </c>
      <c r="J338" s="279">
        <f>'Resultater - Vestdanmark'!J338+'Resultater - Østdanmark'!J338</f>
        <v>-3280480.2449641991</v>
      </c>
    </row>
    <row r="339" spans="1:10" hidden="1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7">
        <f>'Resultater - Vestdanmark'!H339+'Resultater - Østdanmark'!H339</f>
        <v>25327.986699790868</v>
      </c>
      <c r="I339" s="278">
        <f>'Resultater - Vestdanmark'!I339+'Resultater - Østdanmark'!I339</f>
        <v>59231.016198546953</v>
      </c>
      <c r="J339" s="279">
        <f>'Resultater - Vestdanmark'!J339+'Resultater - Østdanmark'!J339</f>
        <v>87237.537492659932</v>
      </c>
    </row>
    <row r="340" spans="1:10" hidden="1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7">
        <f>'Resultater - Vestdanmark'!H340+'Resultater - Østdanmark'!H340</f>
        <v>6063.2651310986303</v>
      </c>
      <c r="I340" s="278">
        <f>'Resultater - Vestdanmark'!I340+'Resultater - Østdanmark'!I340</f>
        <v>13480.66884563203</v>
      </c>
      <c r="J340" s="279">
        <f>'Resultater - Vestdanmark'!J340+'Resultater - Østdanmark'!J340</f>
        <v>0.57074077654193334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7">
        <f>'Resultater - Vestdanmark'!H341+'Resultater - Østdanmark'!H341</f>
        <v>1007.2866557006012</v>
      </c>
      <c r="I341" s="278">
        <f>'Resultater - Vestdanmark'!I341+'Resultater - Østdanmark'!I341</f>
        <v>2825.0366289938902</v>
      </c>
      <c r="J341" s="279">
        <f>'Resultater - Vestdanmark'!J341+'Resultater - Østdanmark'!J341</f>
        <v>0.14755084405054536</v>
      </c>
    </row>
    <row r="342" spans="1:10" hidden="1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7">
        <f>'Resultater - Vestdanmark'!H342+'Resultater - Østdanmark'!H342</f>
        <v>-47737.698528232206</v>
      </c>
      <c r="I342" s="278">
        <f>'Resultater - Vestdanmark'!I342+'Resultater - Østdanmark'!I342</f>
        <v>-99008.293072215776</v>
      </c>
      <c r="J342" s="279">
        <f>'Resultater - Vestdanmark'!J342+'Resultater - Østdanmark'!J342</f>
        <v>-4.191785342345038</v>
      </c>
    </row>
    <row r="343" spans="1:10" hidden="1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7">
        <f>'Resultater - Vestdanmark'!H343+'Resultater - Østdanmark'!H343</f>
        <v>9920.8146156029889</v>
      </c>
      <c r="I343" s="278">
        <f>'Resultater - Vestdanmark'!I343+'Resultater - Østdanmark'!I343</f>
        <v>20575.83317293441</v>
      </c>
      <c r="J343" s="279">
        <f>'Resultater - Vestdanmark'!J343+'Resultater - Østdanmark'!J343</f>
        <v>0.87113385378670904</v>
      </c>
    </row>
    <row r="344" spans="1:10" hidden="1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7">
        <f>'Resultater - Vestdanmark'!H344+'Resultater - Østdanmark'!H344</f>
        <v>5277.9173107404822</v>
      </c>
      <c r="I344" s="278">
        <f>'Resultater - Vestdanmark'!I344+'Resultater - Østdanmark'!I344</f>
        <v>0.38593323453089406</v>
      </c>
      <c r="J344" s="279">
        <f>'Resultater - Vestdanmark'!J344+'Resultater - Østdanmark'!J344</f>
        <v>0.64322205755149009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7">
        <f>'Resultater - Vestdanmark'!H345+'Resultater - Østdanmark'!H345</f>
        <v>876.81728607450714</v>
      </c>
      <c r="I345" s="278">
        <f>'Resultater - Vestdanmark'!I345+'Resultater - Østdanmark'!I345</f>
        <v>8.0876960659791997E-2</v>
      </c>
      <c r="J345" s="279">
        <f>'Resultater - Vestdanmark'!J345+'Resultater - Østdanmark'!J345</f>
        <v>0.16628907799209575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7">
        <f>'Resultater - Vestdanmark'!H346+'Resultater - Østdanmark'!H346</f>
        <v>-31660.530532401586</v>
      </c>
      <c r="I346" s="278">
        <f>'Resultater - Vestdanmark'!I346+'Resultater - Østdanmark'!I346</f>
        <v>-2.1595984154817622</v>
      </c>
      <c r="J346" s="279">
        <f>'Resultater - Vestdanmark'!J346+'Resultater - Østdanmark'!J346</f>
        <v>-3.5993306924696045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7">
        <f>'Resultater - Vestdanmark'!H347+'Resultater - Østdanmark'!H347</f>
        <v>18955.444004025605</v>
      </c>
      <c r="I347" s="278">
        <f>'Resultater - Vestdanmark'!I347+'Resultater - Østdanmark'!I347</f>
        <v>1.2929709688203948</v>
      </c>
      <c r="J347" s="279">
        <f>'Resultater - Vestdanmark'!J347+'Resultater - Østdanmark'!J347</f>
        <v>2.154951614700658</v>
      </c>
    </row>
    <row r="348" spans="1:10" hidden="1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7">
        <f>'Resultater - Vestdanmark'!H348+'Resultater - Østdanmark'!H348</f>
        <v>803523.26097451104</v>
      </c>
      <c r="I348" s="278">
        <f>'Resultater - Vestdanmark'!I348+'Resultater - Østdanmark'!I348</f>
        <v>611919.25361822895</v>
      </c>
      <c r="J348" s="279">
        <f>'Resultater - Vestdanmark'!J348+'Resultater - Østdanmark'!J348</f>
        <v>386252.71682751272</v>
      </c>
    </row>
    <row r="349" spans="1:10" hidden="1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7">
        <f>'Resultater - Vestdanmark'!H349+'Resultater - Østdanmark'!H349</f>
        <v>-1767751.1741439244</v>
      </c>
      <c r="I349" s="278">
        <f>'Resultater - Vestdanmark'!I349+'Resultater - Østdanmark'!I349</f>
        <v>-1255804.4383956189</v>
      </c>
      <c r="J349" s="279">
        <f>'Resultater - Vestdanmark'!J349+'Resultater - Østdanmark'!J349</f>
        <v>-792682.81438482087</v>
      </c>
    </row>
    <row r="350" spans="1:10" hidden="1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7">
        <f>'Resultater - Vestdanmark'!H350+'Resultater - Østdanmark'!H350</f>
        <v>31589.622964822924</v>
      </c>
      <c r="I350" s="278">
        <f>'Resultater - Vestdanmark'!I350+'Resultater - Østdanmark'!I350</f>
        <v>22441.161011068274</v>
      </c>
      <c r="J350" s="279">
        <f>'Resultater - Vestdanmark'!J350+'Resultater - Østdanmark'!J350</f>
        <v>14165.201303988775</v>
      </c>
    </row>
    <row r="351" spans="1:10" hidden="1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7">
        <f>'Resultater - Vestdanmark'!H351+'Resultater - Østdanmark'!H351</f>
        <v>27634.888548227009</v>
      </c>
      <c r="I351" s="278">
        <f>'Resultater - Vestdanmark'!I351+'Resultater - Østdanmark'!I351</f>
        <v>18325.060866200569</v>
      </c>
      <c r="J351" s="279">
        <f>'Resultater - Vestdanmark'!J351+'Resultater - Østdanmark'!J351</f>
        <v>0.33250340878182455</v>
      </c>
    </row>
    <row r="352" spans="1:10" hidden="1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7">
        <f>'Resultater - Vestdanmark'!H352+'Resultater - Østdanmark'!H352</f>
        <v>-46058.147580378347</v>
      </c>
      <c r="I352" s="278">
        <f>'Resultater - Vestdanmark'!I352+'Resultater - Østdanmark'!I352</f>
        <v>-28490.455326804367</v>
      </c>
      <c r="J352" s="279">
        <f>'Resultater - Vestdanmark'!J352+'Resultater - Østdanmark'!J352</f>
        <v>-0.51695181713592109</v>
      </c>
    </row>
    <row r="353" spans="1:10" hidden="1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7">
        <f>'Resultater - Vestdanmark'!H353+'Resultater - Østdanmark'!H353</f>
        <v>4910.5789263453398</v>
      </c>
      <c r="I353" s="278">
        <f>'Resultater - Vestdanmark'!I353+'Resultater - Østdanmark'!I353</f>
        <v>3037.5652708488633</v>
      </c>
      <c r="J353" s="279">
        <f>'Resultater - Vestdanmark'!J353+'Resultater - Østdanmark'!J353</f>
        <v>5.5115822770194244E-2</v>
      </c>
    </row>
    <row r="354" spans="1:10" hidden="1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7">
        <f>'Resultater - Vestdanmark'!H354+'Resultater - Østdanmark'!H354</f>
        <v>18493.012942248984</v>
      </c>
      <c r="I354" s="278">
        <f>'Resultater - Vestdanmark'!I354+'Resultater - Østdanmark'!I354</f>
        <v>0.40119257052836726</v>
      </c>
      <c r="J354" s="279">
        <f>'Resultater - Vestdanmark'!J354+'Resultater - Østdanmark'!J354</f>
        <v>0.28656612180597657</v>
      </c>
    </row>
    <row r="355" spans="1:10" hidden="1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7">
        <f>'Resultater - Vestdanmark'!H355+'Resultater - Østdanmark'!H355</f>
        <v>-23776.730925748692</v>
      </c>
      <c r="I355" s="278">
        <f>'Resultater - Vestdanmark'!I355+'Resultater - Østdanmark'!I355</f>
        <v>-0.48117445825630395</v>
      </c>
      <c r="J355" s="279">
        <f>'Resultater - Vestdanmark'!J355+'Resultater - Østdanmark'!J355</f>
        <v>-0.34369604161164569</v>
      </c>
    </row>
    <row r="356" spans="1:10" hidden="1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7">
        <f>'Resultater - Vestdanmark'!H356+'Resultater - Østdanmark'!H356</f>
        <v>7529.7457544847666</v>
      </c>
      <c r="I356" s="278">
        <f>'Resultater - Vestdanmark'!I356+'Resultater - Østdanmark'!I356</f>
        <v>0.15238097051846189</v>
      </c>
      <c r="J356" s="279">
        <f>'Resultater - Vestdanmark'!J356+'Resultater - Østdanmark'!J356</f>
        <v>0.10884355037032992</v>
      </c>
    </row>
    <row r="357" spans="1:10" hidden="1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7">
        <f>'Resultater - Vestdanmark'!H357+'Resultater - Østdanmark'!H357</f>
        <v>58561.6295189554</v>
      </c>
      <c r="I357" s="278">
        <f>'Resultater - Vestdanmark'!I357+'Resultater - Østdanmark'!I357</f>
        <v>149483.13195531021</v>
      </c>
      <c r="J357" s="279">
        <f>'Resultater - Vestdanmark'!J357+'Resultater - Østdanmark'!J357</f>
        <v>220164.04859168225</v>
      </c>
    </row>
    <row r="358" spans="1:10" hidden="1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7">
        <f>'Resultater - Vestdanmark'!H358+'Resultater - Østdanmark'!H358</f>
        <v>-128835.58494170189</v>
      </c>
      <c r="I358" s="278">
        <f>'Resultater - Vestdanmark'!I358+'Resultater - Østdanmark'!I358</f>
        <v>-306775.08423664409</v>
      </c>
      <c r="J358" s="279">
        <f>'Resultater - Vestdanmark'!J358+'Resultater - Østdanmark'!J358</f>
        <v>-451829.20419934782</v>
      </c>
    </row>
    <row r="359" spans="1:10" hidden="1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7">
        <f>'Resultater - Vestdanmark'!H359+'Resultater - Østdanmark'!H359</f>
        <v>4039.0970279361727</v>
      </c>
      <c r="I359" s="278">
        <f>'Resultater - Vestdanmark'!I359+'Resultater - Østdanmark'!I359</f>
        <v>9617.6404333149767</v>
      </c>
      <c r="J359" s="279">
        <f>'Resultater - Vestdanmark'!J359+'Resultater - Østdanmark'!J359</f>
        <v>14165.201303988775</v>
      </c>
    </row>
    <row r="360" spans="1:10" hidden="1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7">
        <f>'Resultater - Vestdanmark'!H360+'Resultater - Østdanmark'!H360</f>
        <v>2014.0600571988041</v>
      </c>
      <c r="I360" s="278">
        <f>'Resultater - Vestdanmark'!I360+'Resultater - Østdanmark'!I360</f>
        <v>4476.5505830289967</v>
      </c>
      <c r="J360" s="279">
        <f>'Resultater - Vestdanmark'!J360+'Resultater - Østdanmark'!J360</f>
        <v>0.18952694300563994</v>
      </c>
    </row>
    <row r="361" spans="1:10" hidden="1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7">
        <f>'Resultater - Vestdanmark'!H361+'Resultater - Østdanmark'!H361</f>
        <v>-3356.766761998007</v>
      </c>
      <c r="I361" s="278">
        <f>'Resultater - Vestdanmark'!I361+'Resultater - Østdanmark'!I361</f>
        <v>-6959.8112298336382</v>
      </c>
      <c r="J361" s="279">
        <f>'Resultater - Vestdanmark'!J361+'Resultater - Østdanmark'!J361</f>
        <v>-0.29466253576747498</v>
      </c>
    </row>
    <row r="362" spans="1:10" hidden="1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7">
        <f>'Resultater - Vestdanmark'!H362+'Resultater - Østdanmark'!H362</f>
        <v>627.87405753257133</v>
      </c>
      <c r="I362" s="278">
        <f>'Resultater - Vestdanmark'!I362+'Resultater - Østdanmark'!I362</f>
        <v>1301.8136875066557</v>
      </c>
      <c r="J362" s="279">
        <f>'Resultater - Vestdanmark'!J362+'Resultater - Østdanmark'!J362</f>
        <v>5.5115822770194244E-2</v>
      </c>
    </row>
    <row r="363" spans="1:10" hidden="1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7">
        <f>'Resultater - Vestdanmark'!H363+'Resultater - Østdanmark'!H363</f>
        <v>1347.7904439254141</v>
      </c>
      <c r="I363" s="278">
        <f>'Resultater - Vestdanmark'!I363+'Resultater - Østdanmark'!I363</f>
        <v>9.8005613657643972E-2</v>
      </c>
      <c r="J363" s="279">
        <f>'Resultater - Vestdanmark'!J363+'Resultater - Østdanmark'!J363</f>
        <v>0.16334268942940666</v>
      </c>
    </row>
    <row r="364" spans="1:10" hidden="1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7">
        <f>'Resultater - Vestdanmark'!H364+'Resultater - Østdanmark'!H364</f>
        <v>-1732.8734279041039</v>
      </c>
      <c r="I364" s="278">
        <f>'Resultater - Vestdanmark'!I364+'Resultater - Østdanmark'!I364</f>
        <v>-0.11754404623118281</v>
      </c>
      <c r="J364" s="279">
        <f>'Resultater - Vestdanmark'!J364+'Resultater - Østdanmark'!J364</f>
        <v>-0.195906743718638</v>
      </c>
    </row>
    <row r="365" spans="1:10" hidden="1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7">
        <f>'Resultater - Vestdanmark'!H365+'Resultater - Østdanmark'!H365</f>
        <v>962.76469434034368</v>
      </c>
      <c r="I365" s="278">
        <f>'Resultater - Vestdanmark'!I365+'Resultater - Østdanmark'!I365</f>
        <v>6.5306130222197945E-2</v>
      </c>
      <c r="J365" s="279">
        <f>'Resultater - Vestdanmark'!J365+'Resultater - Østdanmark'!J365</f>
        <v>0.10884355037032992</v>
      </c>
    </row>
    <row r="366" spans="1:10" hidden="1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7">
        <f>'Resultater - Vestdanmark'!H366+'Resultater - Østdanmark'!H366</f>
        <v>151119.96541178104</v>
      </c>
      <c r="I366" s="278">
        <f>'Resultater - Vestdanmark'!I366+'Resultater - Østdanmark'!I366</f>
        <v>114785.2729210211</v>
      </c>
      <c r="J366" s="279">
        <f>'Resultater - Vestdanmark'!J366+'Resultater - Østdanmark'!J366</f>
        <v>72454.205772045927</v>
      </c>
    </row>
    <row r="367" spans="1:10" hidden="1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7">
        <f>'Resultater - Vestdanmark'!H367+'Resultater - Østdanmark'!H367</f>
        <v>-743510.2298259628</v>
      </c>
      <c r="I367" s="278">
        <f>'Resultater - Vestdanmark'!I367+'Resultater - Østdanmark'!I367</f>
        <v>-526813.00631662668</v>
      </c>
      <c r="J367" s="279">
        <f>'Resultater - Vestdanmark'!J367+'Resultater - Østdanmark'!J367</f>
        <v>-332532.36231200182</v>
      </c>
    </row>
    <row r="368" spans="1:10" hidden="1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7">
        <f>'Resultater - Vestdanmark'!H368+'Resultater - Østdanmark'!H368</f>
        <v>12179.28225780596</v>
      </c>
      <c r="I368" s="278">
        <f>'Resultater - Vestdanmark'!I368+'Resultater - Østdanmark'!I368</f>
        <v>8629.6113269556263</v>
      </c>
      <c r="J368" s="279">
        <f>'Resultater - Vestdanmark'!J368+'Resultater - Østdanmark'!J368</f>
        <v>5447.1415966944705</v>
      </c>
    </row>
    <row r="369" spans="1:10" hidden="1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7">
        <f>'Resultater - Vestdanmark'!H369+'Resultater - Østdanmark'!H369</f>
        <v>22625.724932981873</v>
      </c>
      <c r="I369" s="278">
        <f>'Resultater - Vestdanmark'!I369+'Resultater - Østdanmark'!I369</f>
        <v>15003.989404787295</v>
      </c>
      <c r="J369" s="279">
        <f>'Resultater - Vestdanmark'!J369+'Resultater - Østdanmark'!J369</f>
        <v>0.27224344076371393</v>
      </c>
    </row>
    <row r="370" spans="1:10" hidden="1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7">
        <f>'Resultater - Vestdanmark'!H370+'Resultater - Østdanmark'!H370</f>
        <v>-92765.472225225691</v>
      </c>
      <c r="I370" s="278">
        <f>'Resultater - Vestdanmark'!I370+'Resultater - Østdanmark'!I370</f>
        <v>-57384.660969802157</v>
      </c>
      <c r="J370" s="279">
        <f>'Resultater - Vestdanmark'!J370+'Resultater - Østdanmark'!J370</f>
        <v>-1.0412295775477864</v>
      </c>
    </row>
    <row r="371" spans="1:10" hidden="1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7">
        <f>'Resultater - Vestdanmark'!H371+'Resultater - Østdanmark'!H371</f>
        <v>8241.9759393401473</v>
      </c>
      <c r="I371" s="278">
        <f>'Resultater - Vestdanmark'!I371+'Resultater - Østdanmark'!I371</f>
        <v>5098.4809720150206</v>
      </c>
      <c r="J371" s="279">
        <f>'Resultater - Vestdanmark'!J371+'Resultater - Østdanmark'!J371</f>
        <v>9.2510596018337526E-2</v>
      </c>
    </row>
    <row r="372" spans="1:10" hidden="1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7">
        <f>'Resultater - Vestdanmark'!H372+'Resultater - Østdanmark'!H372</f>
        <v>21786.130098302907</v>
      </c>
      <c r="I372" s="278">
        <f>'Resultater - Vestdanmark'!I372+'Resultater - Østdanmark'!I372</f>
        <v>0.47296349241416458</v>
      </c>
      <c r="J372" s="279">
        <f>'Resultater - Vestdanmark'!J372+'Resultater - Østdanmark'!J372</f>
        <v>0.33783106601011759</v>
      </c>
    </row>
    <row r="373" spans="1:10" hidden="1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7">
        <f>'Resultater - Vestdanmark'!H373+'Resultater - Østdanmark'!H373</f>
        <v>-76562.685774035956</v>
      </c>
      <c r="I373" s="278">
        <f>'Resultater - Vestdanmark'!I373+'Resultater - Østdanmark'!I373</f>
        <v>-1.5504933253449424</v>
      </c>
      <c r="J373" s="279">
        <f>'Resultater - Vestdanmark'!J373+'Resultater - Østdanmark'!J373</f>
        <v>-1.1074952323892449</v>
      </c>
    </row>
    <row r="374" spans="1:10" hidden="1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7">
        <f>'Resultater - Vestdanmark'!H374+'Resultater - Østdanmark'!H374</f>
        <v>18184.718915711666</v>
      </c>
      <c r="I374" s="278">
        <f>'Resultater - Vestdanmark'!I374+'Resultater - Østdanmark'!I374</f>
        <v>0.36826405731506462</v>
      </c>
      <c r="J374" s="279">
        <f>'Resultater - Vestdanmark'!J374+'Resultater - Østdanmark'!J374</f>
        <v>0.2630457552250462</v>
      </c>
    </row>
    <row r="375" spans="1:10" hidden="1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7">
        <f>'Resultater - Vestdanmark'!H375+'Resultater - Østdanmark'!H375</f>
        <v>11013.783741156445</v>
      </c>
      <c r="I375" s="278">
        <f>'Resultater - Vestdanmark'!I375+'Resultater - Østdanmark'!I375</f>
        <v>28040.402384992289</v>
      </c>
      <c r="J375" s="279">
        <f>'Resultater - Vestdanmark'!J375+'Resultater - Østdanmark'!J375</f>
        <v>41298.897290066176</v>
      </c>
    </row>
    <row r="376" spans="1:10" hidden="1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7">
        <f>'Resultater - Vestdanmark'!H376+'Resultater - Østdanmark'!H376</f>
        <v>-54187.816006489709</v>
      </c>
      <c r="I376" s="278">
        <f>'Resultater - Vestdanmark'!I376+'Resultater - Østdanmark'!I376</f>
        <v>-128692.89154306163</v>
      </c>
      <c r="J376" s="279">
        <f>'Resultater - Vestdanmark'!J376+'Resultater - Østdanmark'!J376</f>
        <v>-189543.44651784102</v>
      </c>
    </row>
    <row r="377" spans="1:10" hidden="1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7">
        <f>'Resultater - Vestdanmark'!H377+'Resultater - Østdanmark'!H377</f>
        <v>1557.2614723727386</v>
      </c>
      <c r="I377" s="278">
        <f>'Resultater - Vestdanmark'!I377+'Resultater - Østdanmark'!I377</f>
        <v>3698.4048544095549</v>
      </c>
      <c r="J377" s="279">
        <f>'Resultater - Vestdanmark'!J377+'Resultater - Østdanmark'!J377</f>
        <v>5447.1415966944705</v>
      </c>
    </row>
    <row r="378" spans="1:10" hidden="1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7">
        <f>'Resultater - Vestdanmark'!H378+'Resultater - Østdanmark'!H378</f>
        <v>1648.986887468722</v>
      </c>
      <c r="I378" s="278">
        <f>'Resultater - Vestdanmark'!I378+'Resultater - Østdanmark'!I378</f>
        <v>3665.2602688837537</v>
      </c>
      <c r="J378" s="279">
        <f>'Resultater - Vestdanmark'!J378+'Resultater - Østdanmark'!J378</f>
        <v>0.15517876123531693</v>
      </c>
    </row>
    <row r="379" spans="1:10" hidden="1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7">
        <f>'Resultater - Vestdanmark'!H379+'Resultater - Østdanmark'!H379</f>
        <v>-6760.8462386217598</v>
      </c>
      <c r="I379" s="278">
        <f>'Resultater - Vestdanmark'!I379+'Resultater - Østdanmark'!I379</f>
        <v>-14018.25289405167</v>
      </c>
      <c r="J379" s="279">
        <f>'Resultater - Vestdanmark'!J379+'Resultater - Østdanmark'!J379</f>
        <v>-0.59350085920223827</v>
      </c>
    </row>
    <row r="380" spans="1:10" hidden="1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7">
        <f>'Resultater - Vestdanmark'!H380+'Resultater - Østdanmark'!H380</f>
        <v>1053.8315242945746</v>
      </c>
      <c r="I380" s="278">
        <f>'Resultater - Vestdanmark'!I380+'Resultater - Østdanmark'!I380</f>
        <v>2185.0632737207234</v>
      </c>
      <c r="J380" s="279">
        <f>'Resultater - Vestdanmark'!J380+'Resultater - Østdanmark'!J380</f>
        <v>9.2510596018337526E-2</v>
      </c>
    </row>
    <row r="381" spans="1:10" hidden="1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7">
        <f>'Resultater - Vestdanmark'!H381+'Resultater - Østdanmark'!H381</f>
        <v>1587.7963233089895</v>
      </c>
      <c r="I381" s="278">
        <f>'Resultater - Vestdanmark'!I381+'Resultater - Østdanmark'!I381</f>
        <v>0.11553822457546017</v>
      </c>
      <c r="J381" s="279">
        <f>'Resultater - Vestdanmark'!J381+'Resultater - Østdanmark'!J381</f>
        <v>0.19256370762576699</v>
      </c>
    </row>
    <row r="382" spans="1:10" hidden="1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7">
        <f>'Resultater - Vestdanmark'!H382+'Resultater - Østdanmark'!H382</f>
        <v>-5579.9699362001647</v>
      </c>
      <c r="I382" s="278">
        <f>'Resultater - Vestdanmark'!I382+'Resultater - Østdanmark'!I382</f>
        <v>-0.37876336947712164</v>
      </c>
      <c r="J382" s="279">
        <f>'Resultater - Vestdanmark'!J382+'Resultater - Østdanmark'!J382</f>
        <v>-0.6312722824618695</v>
      </c>
    </row>
    <row r="383" spans="1:10" hidden="1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7">
        <f>'Resultater - Vestdanmark'!H383+'Resultater - Østdanmark'!H383</f>
        <v>2325.1256973879313</v>
      </c>
      <c r="I383" s="278">
        <f>'Resultater - Vestdanmark'!I383+'Resultater - Østdanmark'!I383</f>
        <v>0.15782745313502772</v>
      </c>
      <c r="J383" s="279">
        <f>'Resultater - Vestdanmark'!J383+'Resultater - Østdanmark'!J383</f>
        <v>0.2630457552250462</v>
      </c>
    </row>
    <row r="384" spans="1:10" hidden="1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7">
        <f>'Resultater - Vestdanmark'!H384+'Resultater - Østdanmark'!H384</f>
        <v>2073397.5877193159</v>
      </c>
      <c r="I384" s="278">
        <f>'Resultater - Vestdanmark'!I384+'Resultater - Østdanmark'!I384</f>
        <v>1112223.3861087998</v>
      </c>
      <c r="J384" s="279">
        <f>'Resultater - Vestdanmark'!J384+'Resultater - Østdanmark'!J384</f>
        <v>1263694.0964255999</v>
      </c>
    </row>
    <row r="385" spans="1:10" hidden="1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7">
        <f>'Resultater - Vestdanmark'!H385+'Resultater - Østdanmark'!H385</f>
        <v>-7517757.7509764899</v>
      </c>
      <c r="I385" s="278">
        <f>'Resultater - Vestdanmark'!I385+'Resultater - Østdanmark'!I385</f>
        <v>-3761862.9999999991</v>
      </c>
      <c r="J385" s="279">
        <f>'Resultater - Vestdanmark'!J385+'Resultater - Østdanmark'!J385</f>
        <v>-4274181</v>
      </c>
    </row>
    <row r="386" spans="1:10" hidden="1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7">
        <f>'Resultater - Vestdanmark'!H386+'Resultater - Østdanmark'!H386</f>
        <v>295552.28134429298</v>
      </c>
      <c r="I386" s="278">
        <f>'Resultater - Vestdanmark'!I386+'Resultater - Østdanmark'!I386</f>
        <v>147893.4582070391</v>
      </c>
      <c r="J386" s="279">
        <f>'Resultater - Vestdanmark'!J386+'Resultater - Østdanmark'!J386</f>
        <v>168034.67034626746</v>
      </c>
    </row>
    <row r="387" spans="1:10" hidden="1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7">
        <f>'Resultater - Vestdanmark'!H387+'Resultater - Østdanmark'!H387</f>
        <v>362721.58612359717</v>
      </c>
      <c r="I387" s="278">
        <f>'Resultater - Vestdanmark'!I387+'Resultater - Østdanmark'!I387</f>
        <v>240353.57887143703</v>
      </c>
      <c r="J387" s="279">
        <f>'Resultater - Vestdanmark'!J387+'Resultater - Østdanmark'!J387</f>
        <v>4.3611524606219527</v>
      </c>
    </row>
    <row r="388" spans="1:10" hidden="1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7">
        <f>'Resultater - Vestdanmark'!H388+'Resultater - Østdanmark'!H388</f>
        <v>-1095968.0508931505</v>
      </c>
      <c r="I388" s="278">
        <f>'Resultater - Vestdanmark'!I388+'Resultater - Østdanmark'!I388</f>
        <v>-677454.76206101524</v>
      </c>
      <c r="J388" s="279">
        <f>'Resultater - Vestdanmark'!J388+'Resultater - Østdanmark'!J388</f>
        <v>-12.292238444690616</v>
      </c>
    </row>
    <row r="389" spans="1:10" hidden="1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7">
        <f>'Resultater - Vestdanmark'!H389+'Resultater - Østdanmark'!H389</f>
        <v>233697.52790303045</v>
      </c>
      <c r="I389" s="278">
        <f>'Resultater - Vestdanmark'!I389+'Resultater - Østdanmark'!I389</f>
        <v>144456.31241784259</v>
      </c>
      <c r="J389" s="279">
        <f>'Resultater - Vestdanmark'!J389+'Resultater - Østdanmark'!J389</f>
        <v>2.6211217877909236</v>
      </c>
    </row>
    <row r="390" spans="1:10" hidden="1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7">
        <f>'Resultater - Vestdanmark'!H390+'Resultater - Østdanmark'!H390</f>
        <v>457088.33107391914</v>
      </c>
      <c r="I390" s="278">
        <f>'Resultater - Vestdanmark'!I390+'Resultater - Østdanmark'!I390</f>
        <v>9.8294416044861705</v>
      </c>
      <c r="J390" s="279">
        <f>'Resultater - Vestdanmark'!J390+'Resultater - Østdanmark'!J390</f>
        <v>7.0210297174901211</v>
      </c>
    </row>
    <row r="391" spans="1:10" hidden="1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7">
        <f>'Resultater - Vestdanmark'!H391+'Resultater - Østdanmark'!H391</f>
        <v>-1183798.6405105125</v>
      </c>
      <c r="I391" s="278">
        <f>'Resultater - Vestdanmark'!I391+'Resultater - Østdanmark'!I391</f>
        <v>-23.747164684723547</v>
      </c>
      <c r="J391" s="279">
        <f>'Resultater - Vestdanmark'!J391+'Resultater - Østdanmark'!J391</f>
        <v>-16.962260489088248</v>
      </c>
    </row>
    <row r="392" spans="1:10" hidden="1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7">
        <f>'Resultater - Vestdanmark'!H392+'Resultater - Østdanmark'!H392</f>
        <v>674805.3408895086</v>
      </c>
      <c r="I392" s="278">
        <f>'Resultater - Vestdanmark'!I392+'Resultater - Østdanmark'!I392</f>
        <v>13.536688598766697</v>
      </c>
      <c r="J392" s="279">
        <f>'Resultater - Vestdanmark'!J392+'Resultater - Østdanmark'!J392</f>
        <v>9.6690632848333546</v>
      </c>
    </row>
    <row r="393" spans="1:10" hidden="1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7">
        <f>'Resultater - Vestdanmark'!H393+'Resultater - Østdanmark'!H393</f>
        <v>265107.75527814421</v>
      </c>
      <c r="I393" s="278">
        <f>'Resultater - Vestdanmark'!I393+'Resultater - Østdanmark'!I393</f>
        <v>476667.16547519999</v>
      </c>
      <c r="J393" s="279">
        <f>'Resultater - Vestdanmark'!J393+'Resultater - Østdanmark'!J393</f>
        <v>1263694.0964255999</v>
      </c>
    </row>
    <row r="394" spans="1:10" hidden="1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7">
        <f>'Resultater - Vestdanmark'!H394+'Resultater - Østdanmark'!H394</f>
        <v>-961231.89005853585</v>
      </c>
      <c r="I394" s="278">
        <f>'Resultater - Vestdanmark'!I394+'Resultater - Østdanmark'!I394</f>
        <v>-1612226.9999999998</v>
      </c>
      <c r="J394" s="279">
        <f>'Resultater - Vestdanmark'!J394+'Resultater - Østdanmark'!J394</f>
        <v>-4274181</v>
      </c>
    </row>
    <row r="395" spans="1:10" hidden="1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7">
        <f>'Resultater - Vestdanmark'!H395+'Resultater - Østdanmark'!H395</f>
        <v>37789.762242709345</v>
      </c>
      <c r="I395" s="278">
        <f>'Resultater - Vestdanmark'!I395+'Resultater - Østdanmark'!I395</f>
        <v>63382.910660159629</v>
      </c>
      <c r="J395" s="279">
        <f>'Resultater - Vestdanmark'!J395+'Resultater - Østdanmark'!J395</f>
        <v>168034.67034626746</v>
      </c>
    </row>
    <row r="396" spans="1:10" hidden="1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7">
        <f>'Resultater - Vestdanmark'!H396+'Resultater - Østdanmark'!H396</f>
        <v>46378.13126518044</v>
      </c>
      <c r="I396" s="278">
        <f>'Resultater - Vestdanmark'!I396+'Resultater - Østdanmark'!I396</f>
        <v>103008.6766591873</v>
      </c>
      <c r="J396" s="279">
        <f>'Resultater - Vestdanmark'!J396+'Resultater - Østdanmark'!J396</f>
        <v>4.3611524606219527</v>
      </c>
    </row>
    <row r="397" spans="1:10" hidden="1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7">
        <f>'Resultater - Vestdanmark'!H397+'Resultater - Østdanmark'!H397</f>
        <v>-140132.13459384954</v>
      </c>
      <c r="I397" s="278">
        <f>'Resultater - Vestdanmark'!I397+'Resultater - Østdanmark'!I397</f>
        <v>-290337.75516900659</v>
      </c>
      <c r="J397" s="279">
        <f>'Resultater - Vestdanmark'!J397+'Resultater - Østdanmark'!J397</f>
        <v>-12.292238444690616</v>
      </c>
    </row>
    <row r="398" spans="1:10" hidden="1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7">
        <f>'Resultater - Vestdanmark'!H398+'Resultater - Østdanmark'!H398</f>
        <v>29880.919802059198</v>
      </c>
      <c r="I398" s="278">
        <f>'Resultater - Vestdanmark'!I398+'Resultater - Østdanmark'!I398</f>
        <v>61909.848179075409</v>
      </c>
      <c r="J398" s="279">
        <f>'Resultater - Vestdanmark'!J398+'Resultater - Østdanmark'!J398</f>
        <v>2.6211217877909236</v>
      </c>
    </row>
    <row r="399" spans="1:10" hidden="1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7">
        <f>'Resultater - Vestdanmark'!H399+'Resultater - Østdanmark'!H399</f>
        <v>58444.006172560563</v>
      </c>
      <c r="I399" s="278">
        <f>'Resultater - Vestdanmark'!I399+'Resultater - Østdanmark'!I399</f>
        <v>4.2126178304940725</v>
      </c>
      <c r="J399" s="279">
        <f>'Resultater - Vestdanmark'!J399+'Resultater - Østdanmark'!J399</f>
        <v>7.0210297174901211</v>
      </c>
    </row>
    <row r="400" spans="1:10" hidden="1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7">
        <f>'Resultater - Vestdanmark'!H400+'Resultater - Østdanmark'!H400</f>
        <v>-151362.28678276329</v>
      </c>
      <c r="I400" s="278">
        <f>'Resultater - Vestdanmark'!I400+'Resultater - Østdanmark'!I400</f>
        <v>-10.177356293452947</v>
      </c>
      <c r="J400" s="279">
        <f>'Resultater - Vestdanmark'!J400+'Resultater - Østdanmark'!J400</f>
        <v>-16.962260489088248</v>
      </c>
    </row>
    <row r="401" spans="1:10" hidden="1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7">
        <f>'Resultater - Vestdanmark'!H401+'Resultater - Østdanmark'!H401</f>
        <v>86281.632732920101</v>
      </c>
      <c r="I401" s="278">
        <f>'Resultater - Vestdanmark'!I401+'Resultater - Østdanmark'!I401</f>
        <v>5.8014379709000119</v>
      </c>
      <c r="J401" s="279">
        <f>'Resultater - Vestdanmark'!J401+'Resultater - Østdanmark'!J401</f>
        <v>9.6690632848333546</v>
      </c>
    </row>
    <row r="402" spans="1:10" hidden="1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7">
        <f>'Resultater - Vestdanmark'!H402+'Resultater - Østdanmark'!H402</f>
        <v>827693.20492220437</v>
      </c>
      <c r="I402" s="278">
        <f>'Resultater - Vestdanmark'!I402+'Resultater - Østdanmark'!I402</f>
        <v>792049.6289698272</v>
      </c>
      <c r="J402" s="279">
        <f>'Resultater - Vestdanmark'!J402+'Resultater - Østdanmark'!J402</f>
        <v>868326.86024586018</v>
      </c>
    </row>
    <row r="403" spans="1:10" hidden="1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7">
        <f>'Resultater - Vestdanmark'!H403+'Resultater - Østdanmark'!H403</f>
        <v>896667.6386657214</v>
      </c>
      <c r="I403" s="278">
        <f>'Resultater - Vestdanmark'!I403+'Resultater - Østdanmark'!I403</f>
        <v>858053.76471731288</v>
      </c>
      <c r="J403" s="279">
        <f>'Resultater - Vestdanmark'!J403+'Resultater - Østdanmark'!J403</f>
        <v>940687.43193301524</v>
      </c>
    </row>
    <row r="404" spans="1:10" hidden="1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7">
        <f>'Resultater - Vestdanmark'!H404+'Resultater - Østdanmark'!H404</f>
        <v>3383628.2</v>
      </c>
      <c r="I404" s="278">
        <f>'Resultater - Vestdanmark'!I404+'Resultater - Østdanmark'!I404</f>
        <v>2363204.0399915976</v>
      </c>
      <c r="J404" s="279">
        <f>'Resultater - Vestdanmark'!J404+'Resultater - Østdanmark'!J404</f>
        <v>1419902.7258335946</v>
      </c>
    </row>
    <row r="405" spans="1:10" hidden="1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7">
        <f>'Resultater - Vestdanmark'!H405+'Resultater - Østdanmark'!H405</f>
        <v>131725</v>
      </c>
      <c r="I405" s="278">
        <f>'Resultater - Vestdanmark'!I405+'Resultater - Østdanmark'!I405</f>
        <v>91999.780640169993</v>
      </c>
      <c r="J405" s="279">
        <f>'Resultater - Vestdanmark'!J405+'Resultater - Østdanmark'!J405</f>
        <v>55276.961741963925</v>
      </c>
    </row>
    <row r="406" spans="1:10" s="170" customFormat="1" hidden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7">
        <f>'Resultater - Vestdanmark'!H406+'Resultater - Østdanmark'!H406</f>
        <v>17308.665000000001</v>
      </c>
      <c r="I406" s="278">
        <f>'Resultater - Vestdanmark'!I406+'Resultater - Østdanmark'!I406</f>
        <v>12088.771176118336</v>
      </c>
      <c r="J406" s="279">
        <f>'Resultater - Vestdanmark'!J406+'Resultater - Østdanmark'!J406</f>
        <v>7263.3927728940607</v>
      </c>
    </row>
    <row r="407" spans="1:10" hidden="1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7">
        <f>'Resultater - Vestdanmark'!H407+'Resultater - Østdanmark'!H407</f>
        <v>1753646.8000000003</v>
      </c>
      <c r="I407" s="278">
        <f>'Resultater - Vestdanmark'!I407+'Resultater - Østdanmark'!I407</f>
        <v>1224787.404975032</v>
      </c>
      <c r="J407" s="279">
        <f>'Resultater - Vestdanmark'!J407+'Resultater - Østdanmark'!J407</f>
        <v>735898.78210299858</v>
      </c>
    </row>
    <row r="408" spans="1:10" hidden="1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7">
        <f>'Resultater - Vestdanmark'!H408+'Resultater - Østdanmark'!H408</f>
        <v>1601127.6966659406</v>
      </c>
      <c r="I408" s="278">
        <f>'Resultater - Vestdanmark'!I408+'Resultater - Østdanmark'!I408</f>
        <v>989454.52623130626</v>
      </c>
      <c r="J408" s="279">
        <f>'Resultater - Vestdanmark'!J408+'Resultater - Østdanmark'!J408</f>
        <v>551265.68248214701</v>
      </c>
    </row>
    <row r="409" spans="1:10" hidden="1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7">
        <f>'Resultater - Vestdanmark'!H409+'Resultater - Østdanmark'!H409</f>
        <v>22728.326432774025</v>
      </c>
      <c r="I409" s="278">
        <f>'Resultater - Vestdanmark'!I409+'Resultater - Østdanmark'!I409</f>
        <v>18956.395102946004</v>
      </c>
      <c r="J409" s="279">
        <f>'Resultater - Vestdanmark'!J409+'Resultater - Østdanmark'!J409</f>
        <v>10561.384891157539</v>
      </c>
    </row>
    <row r="410" spans="1:10" hidden="1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7">
        <f>'Resultater - Vestdanmark'!H410+'Resultater - Østdanmark'!H410</f>
        <v>142794.72651993899</v>
      </c>
      <c r="I410" s="278">
        <f>'Resultater - Vestdanmark'!I410+'Resultater - Østdanmark'!I410</f>
        <v>88243.360458584153</v>
      </c>
      <c r="J410" s="279">
        <f>'Resultater - Vestdanmark'!J410+'Resultater - Østdanmark'!J410</f>
        <v>49163.993936137253</v>
      </c>
    </row>
    <row r="411" spans="1:10" hidden="1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7">
        <f>'Resultater - Vestdanmark'!H411+'Resultater - Østdanmark'!H411</f>
        <v>140895.61996077577</v>
      </c>
      <c r="I411" s="278">
        <f>'Resultater - Vestdanmark'!I411+'Resultater - Østdanmark'!I411</f>
        <v>87069.762884404117</v>
      </c>
      <c r="J411" s="279">
        <f>'Resultater - Vestdanmark'!J411+'Resultater - Østdanmark'!J411</f>
        <v>48510.134612097427</v>
      </c>
    </row>
    <row r="412" spans="1:10" hidden="1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7">
        <f>'Resultater - Vestdanmark'!H412+'Resultater - Østdanmark'!H412</f>
        <v>115671.91919191919</v>
      </c>
      <c r="I412" s="278">
        <f>'Resultater - Vestdanmark'!I412+'Resultater - Østdanmark'!I412</f>
        <v>76600.792322782596</v>
      </c>
      <c r="J412" s="279">
        <f>'Resultater - Vestdanmark'!J412+'Resultater - Østdanmark'!J412</f>
        <v>42016.558437534848</v>
      </c>
    </row>
    <row r="413" spans="1:10" hidden="1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7">
        <f>'Resultater - Vestdanmark'!H413+'Resultater - Østdanmark'!H413</f>
        <v>50006.545454545456</v>
      </c>
      <c r="I413" s="278">
        <f>'Resultater - Vestdanmark'!I413+'Resultater - Østdanmark'!I413</f>
        <v>37152.005028513289</v>
      </c>
      <c r="J413" s="279">
        <f>'Resultater - Vestdanmark'!J413+'Resultater - Østdanmark'!J413</f>
        <v>20378.371332953495</v>
      </c>
    </row>
    <row r="414" spans="1:10" hidden="1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7">
        <f>'Resultater - Vestdanmark'!H414+'Resultater - Østdanmark'!H414</f>
        <v>7405.2525252525256</v>
      </c>
      <c r="I414" s="278">
        <f>'Resultater - Vestdanmark'!I414+'Resultater - Østdanmark'!I414</f>
        <v>4903.9405133710097</v>
      </c>
      <c r="J414" s="279">
        <f>'Resultater - Vestdanmark'!J414+'Resultater - Østdanmark'!J414</f>
        <v>2689.8769178000434</v>
      </c>
    </row>
    <row r="415" spans="1:10" hidden="1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7">
        <f>'Resultater - Vestdanmark'!H415+'Resultater - Østdanmark'!H415</f>
        <v>76114.747474747448</v>
      </c>
      <c r="I415" s="278">
        <f>'Resultater - Vestdanmark'!I415+'Resultater - Østdanmark'!I415</f>
        <v>50405.059453889357</v>
      </c>
      <c r="J415" s="279">
        <f>'Resultater - Vestdanmark'!J415+'Resultater - Østdanmark'!J415</f>
        <v>27647.848825995374</v>
      </c>
    </row>
    <row r="416" spans="1:10" hidden="1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7">
        <f>'Resultater - Vestdanmark'!H416+'Resultater - Østdanmark'!H416</f>
        <v>201545.30567673693</v>
      </c>
      <c r="I416" s="278">
        <f>'Resultater - Vestdanmark'!I416+'Resultater - Østdanmark'!I416</f>
        <v>167447.05654220766</v>
      </c>
      <c r="J416" s="279">
        <f>'Resultater - Vestdanmark'!J416+'Resultater - Østdanmark'!J416</f>
        <v>124251.71114037289</v>
      </c>
    </row>
    <row r="417" spans="1:10" ht="15.75" hidden="1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0">
        <f>'Resultater - Vestdanmark'!H417+'Resultater - Østdanmark'!H417</f>
        <v>550.81037157810442</v>
      </c>
      <c r="I417" s="281">
        <f>'Resultater - Vestdanmark'!I417+'Resultater - Østdanmark'!I417</f>
        <v>617.62570720188864</v>
      </c>
      <c r="J417" s="282">
        <f>'Resultater - Vestdanmark'!J417+'Resultater - Østdanmark'!J417</f>
        <v>458.30038788871633</v>
      </c>
    </row>
    <row r="418" spans="1:10" hidden="1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4">
        <f>'Resultater - Vestdanmark'!H418+'Resultater - Østdanmark'!H418</f>
        <v>5940049093.1121235</v>
      </c>
      <c r="I418" s="275">
        <f>'Resultater - Vestdanmark'!I418+'Resultater - Østdanmark'!I418</f>
        <v>4498254939.0240002</v>
      </c>
      <c r="J418" s="276">
        <f>'Resultater - Vestdanmark'!J418+'Resultater - Østdanmark'!J418</f>
        <v>3055656172.8000002</v>
      </c>
    </row>
    <row r="419" spans="1:10" hidden="1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7">
        <f>'Resultater - Vestdanmark'!H419+'Resultater - Østdanmark'!H419</f>
        <v>164945487.85478973</v>
      </c>
      <c r="I419" s="278">
        <f>'Resultater - Vestdanmark'!I419+'Resultater - Østdanmark'!I419</f>
        <v>0</v>
      </c>
      <c r="J419" s="279">
        <f>'Resultater - Vestdanmark'!J419+'Resultater - Østdanmark'!J419</f>
        <v>0</v>
      </c>
    </row>
    <row r="420" spans="1:10" hidden="1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7">
        <f>'Resultater - Vestdanmark'!H420+'Resultater - Østdanmark'!H420</f>
        <v>0</v>
      </c>
      <c r="I420" s="278">
        <f>'Resultater - Vestdanmark'!I420+'Resultater - Østdanmark'!I420</f>
        <v>0</v>
      </c>
      <c r="J420" s="279">
        <f>'Resultater - Vestdanmark'!J420+'Resultater - Østdanmark'!J420</f>
        <v>0</v>
      </c>
    </row>
    <row r="421" spans="1:10" hidden="1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7">
        <f>'Resultater - Vestdanmark'!H421+'Resultater - Østdanmark'!H421</f>
        <v>78449683.248009756</v>
      </c>
      <c r="I421" s="278">
        <f>'Resultater - Vestdanmark'!I421+'Resultater - Østdanmark'!I421</f>
        <v>0</v>
      </c>
      <c r="J421" s="279">
        <f>'Resultater - Vestdanmark'!J421+'Resultater - Østdanmark'!J421</f>
        <v>0</v>
      </c>
    </row>
    <row r="422" spans="1:10" hidden="1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7">
        <f>'Resultater - Vestdanmark'!H422+'Resultater - Østdanmark'!H422</f>
        <v>143824419.28801787</v>
      </c>
      <c r="I422" s="278">
        <f>'Resultater - Vestdanmark'!I422+'Resultater - Østdanmark'!I422</f>
        <v>112456373.47559999</v>
      </c>
      <c r="J422" s="279">
        <f>'Resultater - Vestdanmark'!J422+'Resultater - Østdanmark'!J422</f>
        <v>76391404.320000008</v>
      </c>
    </row>
    <row r="423" spans="1:10" hidden="1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7">
        <f>'Resultater - Vestdanmark'!H423+'Resultater - Østdanmark'!H423</f>
        <v>1682645129.1528244</v>
      </c>
      <c r="I423" s="278">
        <f>'Resultater - Vestdanmark'!I423+'Resultater - Østdanmark'!I423</f>
        <v>1282002657.62184</v>
      </c>
      <c r="J423" s="279">
        <f>'Resultater - Vestdanmark'!J423+'Resultater - Østdanmark'!J423</f>
        <v>870862009.24800003</v>
      </c>
    </row>
    <row r="424" spans="1:10" hidden="1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7">
        <f>'Resultater - Vestdanmark'!H424+'Resultater - Østdanmark'!H424</f>
        <v>242389405.93295321</v>
      </c>
      <c r="I424" s="278">
        <f>'Resultater - Vestdanmark'!I424+'Resultater - Østdanmark'!I424</f>
        <v>371106032.46947998</v>
      </c>
      <c r="J424" s="279">
        <f>'Resultater - Vestdanmark'!J424+'Resultater - Østdanmark'!J424</f>
        <v>359039600.30400002</v>
      </c>
    </row>
    <row r="425" spans="1:10" hidden="1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7">
        <f>'Resultater - Vestdanmark'!H425+'Resultater - Østdanmark'!H425</f>
        <v>0</v>
      </c>
      <c r="I425" s="278">
        <f>'Resultater - Vestdanmark'!I425+'Resultater - Østdanmark'!I425</f>
        <v>0</v>
      </c>
      <c r="J425" s="279">
        <f>'Resultater - Vestdanmark'!J425+'Resultater - Østdanmark'!J425</f>
        <v>0</v>
      </c>
    </row>
    <row r="426" spans="1:10" hidden="1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7">
        <f>'Resultater - Vestdanmark'!H426+'Resultater - Østdanmark'!H426</f>
        <v>0</v>
      </c>
      <c r="I426" s="278">
        <f>'Resultater - Vestdanmark'!I426+'Resultater - Østdanmark'!I426</f>
        <v>0</v>
      </c>
      <c r="J426" s="279">
        <f>'Resultater - Vestdanmark'!J426+'Resultater - Østdanmark'!J426</f>
        <v>0</v>
      </c>
    </row>
    <row r="427" spans="1:10" hidden="1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7">
        <f>'Resultater - Vestdanmark'!H427+'Resultater - Østdanmark'!H427</f>
        <v>2285098465.8907456</v>
      </c>
      <c r="I427" s="278">
        <f>'Resultater - Vestdanmark'!I427+'Resultater - Østdanmark'!I427</f>
        <v>1743073788.8717999</v>
      </c>
      <c r="J427" s="279">
        <f>'Resultater - Vestdanmark'!J427+'Resultater - Østdanmark'!J427</f>
        <v>1184066766.96</v>
      </c>
    </row>
    <row r="428" spans="1:10" hidden="1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7">
        <f>'Resultater - Vestdanmark'!H428+'Resultater - Østdanmark'!H428</f>
        <v>163939722.68494347</v>
      </c>
      <c r="I428" s="278">
        <f>'Resultater - Vestdanmark'!I428+'Resultater - Østdanmark'!I428</f>
        <v>123702010.82315998</v>
      </c>
      <c r="J428" s="279">
        <f>'Resultater - Vestdanmark'!J428+'Resultater - Østdanmark'!J428</f>
        <v>84030544.751999989</v>
      </c>
    </row>
    <row r="429" spans="1:10" hidden="1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7">
        <f>'Resultater - Vestdanmark'!H429+'Resultater - Østdanmark'!H429</f>
        <v>0</v>
      </c>
      <c r="I429" s="278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79">
        <f>'Resultater - Vestdanmark'!J429+'Resultater - Østdanmark'!J429</f>
        <v>366678740.73600006</v>
      </c>
    </row>
    <row r="430" spans="1:10" hidden="1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7">
        <f>'Resultater - Vestdanmark'!H430+'Resultater - Østdanmark'!H430</f>
        <v>0</v>
      </c>
      <c r="I430" s="278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79">
        <f>'Resultater - Vestdanmark'!J430+'Resultater - Østdanmark'!J430</f>
        <v>1581302069.424</v>
      </c>
    </row>
    <row r="431" spans="1:10" hidden="1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7">
        <f>'Resultater - Vestdanmark'!H431+'Resultater - Østdanmark'!H431</f>
        <v>121697585.55139975</v>
      </c>
      <c r="I431" s="278">
        <f>'Resultater - Vestdanmark'!I431+'Resultater - Østdanmark'!I431</f>
        <v>89965098.780479997</v>
      </c>
      <c r="J431" s="279">
        <f>'Resultater - Vestdanmark'!J431+'Resultater - Østdanmark'!J431</f>
        <v>61113123.456000008</v>
      </c>
    </row>
    <row r="432" spans="1:10" hidden="1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7">
        <f>'Resultater - Vestdanmark'!H432+'Resultater - Østdanmark'!H432</f>
        <v>4029095270.4041944</v>
      </c>
      <c r="I432" s="278">
        <f>'Resultater - Vestdanmark'!I432+'Resultater - Østdanmark'!I432</f>
        <v>1525361387.3611891</v>
      </c>
      <c r="J432" s="279">
        <f>'Resultater - Vestdanmark'!J432+'Resultater - Østdanmark'!J432</f>
        <v>0</v>
      </c>
    </row>
    <row r="433" spans="1:10" hidden="1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7">
        <f>'Resultater - Vestdanmark'!H433+'Resultater - Østdanmark'!H433</f>
        <v>12195000.399999999</v>
      </c>
      <c r="I433" s="278">
        <f>'Resultater - Vestdanmark'!I433+'Resultater - Østdanmark'!I433</f>
        <v>0</v>
      </c>
      <c r="J433" s="279">
        <f>'Resultater - Vestdanmark'!J433+'Resultater - Østdanmark'!J433</f>
        <v>0</v>
      </c>
    </row>
    <row r="434" spans="1:10" hidden="1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7">
        <f>'Resultater - Vestdanmark'!H434+'Resultater - Østdanmark'!H434</f>
        <v>361184.39999999997</v>
      </c>
      <c r="I434" s="278">
        <f>'Resultater - Vestdanmark'!I434+'Resultater - Østdanmark'!I434</f>
        <v>0</v>
      </c>
      <c r="J434" s="279">
        <f>'Resultater - Vestdanmark'!J434+'Resultater - Østdanmark'!J434</f>
        <v>0</v>
      </c>
    </row>
    <row r="435" spans="1:10" hidden="1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7">
        <f>'Resultater - Vestdanmark'!H435+'Resultater - Østdanmark'!H435</f>
        <v>4390946.2499999991</v>
      </c>
      <c r="I435" s="278">
        <f>'Resultater - Vestdanmark'!I435+'Resultater - Østdanmark'!I435</f>
        <v>0</v>
      </c>
      <c r="J435" s="279">
        <f>'Resultater - Vestdanmark'!J435+'Resultater - Østdanmark'!J435</f>
        <v>0</v>
      </c>
    </row>
    <row r="436" spans="1:10" hidden="1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7">
        <f>'Resultater - Vestdanmark'!H436+'Resultater - Østdanmark'!H436</f>
        <v>34978432</v>
      </c>
      <c r="I436" s="278">
        <f>'Resultater - Vestdanmark'!I436+'Resultater - Østdanmark'!I436</f>
        <v>75311534.506888002</v>
      </c>
      <c r="J436" s="279">
        <f>'Resultater - Vestdanmark'!J436+'Resultater - Østdanmark'!J436</f>
        <v>49655956.817728348</v>
      </c>
    </row>
    <row r="437" spans="1:10" s="170" customFormat="1" hidden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3">
        <f>'Resultater - Vestdanmark'!H437+'Resultater - Østdanmark'!H437</f>
        <v>-37099.291058504961</v>
      </c>
      <c r="I437" s="284">
        <f>'Resultater - Vestdanmark'!I437+'Resultater - Østdanmark'!I437</f>
        <v>-79877.92416577386</v>
      </c>
      <c r="J437" s="285">
        <f>'Resultater - Vestdanmark'!J437+'Resultater - Østdanmark'!J437</f>
        <v>-52666.763186224518</v>
      </c>
    </row>
    <row r="438" spans="1:10" hidden="1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7">
        <f>'Resultater - Vestdanmark'!H438+'Resultater - Østdanmark'!H438</f>
        <v>61384486.300000004</v>
      </c>
      <c r="I438" s="278">
        <f>'Resultater - Vestdanmark'!I438+'Resultater - Østdanmark'!I438</f>
        <v>89746149.17403245</v>
      </c>
      <c r="J438" s="279">
        <f>'Resultater - Vestdanmark'!J438+'Resultater - Østdanmark'!J438</f>
        <v>74412537.864586651</v>
      </c>
    </row>
    <row r="439" spans="1:10" s="170" customFormat="1" hidden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3">
        <f>'Resultater - Vestdanmark'!H439+'Resultater - Østdanmark'!H439</f>
        <v>-128107.91983655478</v>
      </c>
      <c r="I439" s="284">
        <f>'Resultater - Vestdanmark'!I439+'Resultater - Østdanmark'!I439</f>
        <v>-187298.01578589471</v>
      </c>
      <c r="J439" s="285">
        <f>'Resultater - Vestdanmark'!J439+'Resultater - Østdanmark'!J439</f>
        <v>-155297.14444463898</v>
      </c>
    </row>
    <row r="440" spans="1:10" hidden="1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7">
        <f>'Resultater - Vestdanmark'!H440+'Resultater - Østdanmark'!H440</f>
        <v>58183.649999999994</v>
      </c>
      <c r="I440" s="278">
        <f>'Resultater - Vestdanmark'!I440+'Resultater - Østdanmark'!I440</f>
        <v>85576.862653704535</v>
      </c>
      <c r="J440" s="279">
        <f>'Resultater - Vestdanmark'!J440+'Resultater - Østdanmark'!J440</f>
        <v>135922.67698448495</v>
      </c>
    </row>
    <row r="441" spans="1:10" hidden="1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7">
        <f>'Resultater - Vestdanmark'!H441+'Resultater - Østdanmark'!H441</f>
        <v>45425220.000000007</v>
      </c>
      <c r="I441" s="278">
        <f>'Resultater - Vestdanmark'!I441+'Resultater - Østdanmark'!I441</f>
        <v>115618612.46864645</v>
      </c>
      <c r="J441" s="279">
        <f>'Resultater - Vestdanmark'!J441+'Resultater - Østdanmark'!J441</f>
        <v>128041302.26291226</v>
      </c>
    </row>
    <row r="442" spans="1:10" hidden="1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7">
        <f>'Resultater - Vestdanmark'!H442+'Resultater - Østdanmark'!H442</f>
        <v>33002599.999999996</v>
      </c>
      <c r="I442" s="278">
        <f>'Resultater - Vestdanmark'!I442+'Resultater - Østdanmark'!I442</f>
        <v>0</v>
      </c>
      <c r="J442" s="279">
        <f>'Resultater - Vestdanmark'!J442+'Resultater - Østdanmark'!J442</f>
        <v>0</v>
      </c>
    </row>
    <row r="443" spans="1:10" hidden="1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7">
        <f>'Resultater - Vestdanmark'!H443+'Resultater - Østdanmark'!H443</f>
        <v>2165562</v>
      </c>
      <c r="I443" s="278">
        <f>'Resultater - Vestdanmark'!I443+'Resultater - Østdanmark'!I443</f>
        <v>0</v>
      </c>
      <c r="J443" s="279">
        <f>'Resultater - Vestdanmark'!J443+'Resultater - Østdanmark'!J443</f>
        <v>0</v>
      </c>
    </row>
    <row r="444" spans="1:10" hidden="1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7">
        <f ca="1">'Resultater - Vestdanmark'!H444+'Resultater - Østdanmark'!H444</f>
        <v>69194816.600000009</v>
      </c>
      <c r="I444" s="278">
        <f ca="1">'Resultater - Vestdanmark'!I444+'Resultater - Østdanmark'!I444</f>
        <v>34543125.500000007</v>
      </c>
      <c r="J444" s="279">
        <f ca="1">'Resultater - Vestdanmark'!J444+'Resultater - Østdanmark'!J444</f>
        <v>35091837.300000004</v>
      </c>
    </row>
    <row r="445" spans="1:10" hidden="1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7">
        <f>'Resultater - Vestdanmark'!H445+'Resultater - Østdanmark'!H445</f>
        <v>102149122.13</v>
      </c>
      <c r="I445" s="278">
        <f>'Resultater - Vestdanmark'!I445+'Resultater - Østdanmark'!I445</f>
        <v>61557000.00000003</v>
      </c>
      <c r="J445" s="279">
        <f>'Resultater - Vestdanmark'!J445+'Resultater - Østdanmark'!J445</f>
        <v>51297500.000000015</v>
      </c>
    </row>
    <row r="446" spans="1:10" hidden="1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7">
        <f>'Resultater - Vestdanmark'!H446+'Resultater - Østdanmark'!H446</f>
        <v>0</v>
      </c>
      <c r="I446" s="278">
        <f>'Resultater - Vestdanmark'!I446+'Resultater - Østdanmark'!I446</f>
        <v>0</v>
      </c>
      <c r="J446" s="279">
        <f>'Resultater - Vestdanmark'!J446+'Resultater - Østdanmark'!J446</f>
        <v>0</v>
      </c>
    </row>
    <row r="447" spans="1:10" hidden="1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7">
        <f>'Resultater - Vestdanmark'!H447+'Resultater - Østdanmark'!H447</f>
        <v>0</v>
      </c>
      <c r="I447" s="278">
        <f>'Resultater - Vestdanmark'!I447+'Resultater - Østdanmark'!I447</f>
        <v>0</v>
      </c>
      <c r="J447" s="279">
        <f>'Resultater - Vestdanmark'!J447+'Resultater - Østdanmark'!J447</f>
        <v>0</v>
      </c>
    </row>
    <row r="448" spans="1:10" hidden="1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7">
        <f>'Resultater - Vestdanmark'!H448+'Resultater - Østdanmark'!H448</f>
        <v>3689.3999999999996</v>
      </c>
      <c r="I448" s="278">
        <f>'Resultater - Vestdanmark'!I448+'Resultater - Østdanmark'!I448</f>
        <v>37840000</v>
      </c>
      <c r="J448" s="279">
        <f>'Resultater - Vestdanmark'!J448+'Resultater - Østdanmark'!J448</f>
        <v>37840000</v>
      </c>
    </row>
    <row r="449" spans="1:13" hidden="1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7">
        <f>'Resultater - Vestdanmark'!H449+'Resultater - Østdanmark'!H449</f>
        <v>0</v>
      </c>
      <c r="I449" s="278">
        <f>'Resultater - Vestdanmark'!I449+'Resultater - Østdanmark'!I449</f>
        <v>13277008.384796519</v>
      </c>
      <c r="J449" s="279">
        <f>'Resultater - Vestdanmark'!J449+'Resultater - Østdanmark'!J449</f>
        <v>23935163.141736001</v>
      </c>
    </row>
    <row r="450" spans="1:13" hidden="1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7">
        <f>'Resultater - Vestdanmark'!H450+'Resultater - Østdanmark'!H450</f>
        <v>60431253.120000005</v>
      </c>
      <c r="I450" s="278">
        <f>'Resultater - Vestdanmark'!I450+'Resultater - Østdanmark'!I450</f>
        <v>60431253.120000005</v>
      </c>
      <c r="J450" s="279">
        <f>'Resultater - Vestdanmark'!J450+'Resultater - Østdanmark'!J450</f>
        <v>60431253.120000005</v>
      </c>
    </row>
    <row r="451" spans="1:13" hidden="1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7">
        <f>'Resultater - Vestdanmark'!H451+'Resultater - Østdanmark'!H451</f>
        <v>37096792.599999994</v>
      </c>
      <c r="I451" s="278">
        <f>'Resultater - Vestdanmark'!I451+'Resultater - Østdanmark'!I451</f>
        <v>65770734.729365222</v>
      </c>
      <c r="J451" s="279">
        <f>'Resultater - Vestdanmark'!J451+'Resultater - Østdanmark'!J451</f>
        <v>94442978.05790171</v>
      </c>
      <c r="L451" s="98"/>
    </row>
    <row r="452" spans="1:13" hidden="1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3">
        <f ca="1">'Resultater - Vestdanmark'!H452+'Resultater - Østdanmark'!H452</f>
        <v>12034020.807749998</v>
      </c>
      <c r="I452" s="284">
        <f ca="1">'Resultater - Vestdanmark'!I452+'Resultater - Østdanmark'!I452</f>
        <v>20272417.23063913</v>
      </c>
      <c r="J452" s="285">
        <f ca="1">'Resultater - Vestdanmark'!J452+'Resultater - Østdanmark'!J452</f>
        <v>19930047.71766229</v>
      </c>
    </row>
    <row r="453" spans="1:13" hidden="1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3">
        <f>'Resultater - Vestdanmark'!H453+'Resultater - Østdanmark'!H453</f>
        <v>78133292.533333316</v>
      </c>
      <c r="I453" s="284">
        <f>'Resultater - Vestdanmark'!I453+'Resultater - Østdanmark'!I453</f>
        <v>17910627.757727847</v>
      </c>
      <c r="J453" s="285">
        <f>'Resultater - Vestdanmark'!J453+'Resultater - Østdanmark'!J453</f>
        <v>2436820.1030922239</v>
      </c>
    </row>
    <row r="454" spans="1:13" hidden="1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3">
        <f>'Resultater - Vestdanmark'!H454+'Resultater - Østdanmark'!H454</f>
        <v>77571922.666666672</v>
      </c>
      <c r="I454" s="284">
        <f>'Resultater - Vestdanmark'!I454+'Resultater - Østdanmark'!I454</f>
        <v>27418354.357587654</v>
      </c>
      <c r="J454" s="285">
        <f>'Resultater - Vestdanmark'!J454+'Resultater - Østdanmark'!J454</f>
        <v>4691097.7377201971</v>
      </c>
    </row>
    <row r="455" spans="1:13" hidden="1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3">
        <f>'Resultater - Vestdanmark'!H455+'Resultater - Østdanmark'!H455</f>
        <v>31090.5</v>
      </c>
      <c r="I455" s="284">
        <f>'Resultater - Vestdanmark'!I455+'Resultater - Østdanmark'!I455</f>
        <v>24622.820141112865</v>
      </c>
      <c r="J455" s="285">
        <f>'Resultater - Vestdanmark'!J455+'Resultater - Østdanmark'!J455</f>
        <v>8070.0486759236173</v>
      </c>
    </row>
    <row r="456" spans="1:13" hidden="1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3">
        <f>'Resultater - Vestdanmark'!H456+'Resultater - Østdanmark'!H456</f>
        <v>11532709.900000002</v>
      </c>
      <c r="I456" s="284">
        <f>'Resultater - Vestdanmark'!I456+'Resultater - Østdanmark'!I456</f>
        <v>5499295.5417779274</v>
      </c>
      <c r="J456" s="285">
        <f>'Resultater - Vestdanmark'!J456+'Resultater - Østdanmark'!J456</f>
        <v>1256701.6703582127</v>
      </c>
    </row>
    <row r="457" spans="1:13" hidden="1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3">
        <f ca="1">'Resultater - Vestdanmark'!H457+'Resultater - Østdanmark'!H457</f>
        <v>61624442.148559391</v>
      </c>
      <c r="I457" s="284">
        <f ca="1">'Resultater - Vestdanmark'!I457+'Resultater - Østdanmark'!I457</f>
        <v>103270910.01219414</v>
      </c>
      <c r="J457" s="285">
        <f ca="1">'Resultater - Vestdanmark'!J457+'Resultater - Østdanmark'!J457</f>
        <v>81071446.341017753</v>
      </c>
    </row>
    <row r="458" spans="1:13" hidden="1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3">
        <f ca="1">'Resultater - Vestdanmark'!H458+'Resultater - Østdanmark'!H458</f>
        <v>151170414.18881321</v>
      </c>
      <c r="I458" s="284">
        <f ca="1">'Resultater - Vestdanmark'!I458+'Resultater - Østdanmark'!I458</f>
        <v>275132605.39419705</v>
      </c>
      <c r="J458" s="285">
        <f ca="1">'Resultater - Vestdanmark'!J458+'Resultater - Østdanmark'!J458</f>
        <v>245571694.40404257</v>
      </c>
    </row>
    <row r="459" spans="1:13" hidden="1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7">
        <f>'Resultater - Vestdanmark'!H459+'Resultater - Østdanmark'!H459</f>
        <v>19.573590488557194</v>
      </c>
      <c r="I459" s="288">
        <f>'Resultater - Vestdanmark'!I459+'Resultater - Østdanmark'!I459</f>
        <v>15.768011436949893</v>
      </c>
      <c r="J459" s="289">
        <f>'Resultater - Vestdanmark'!J459+'Resultater - Østdanmark'!J459</f>
        <v>6.9641607801413388</v>
      </c>
      <c r="L459" s="169" t="s">
        <v>216</v>
      </c>
      <c r="M459" s="167">
        <v>17963.28</v>
      </c>
    </row>
    <row r="460" spans="1:13" hidden="1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7">
        <f>'Resultater - Vestdanmark'!H460+'Resultater - Østdanmark'!H460</f>
        <v>3.951047127829578</v>
      </c>
      <c r="I460" s="288">
        <f>'Resultater - Vestdanmark'!I460+'Resultater - Østdanmark'!I460</f>
        <v>9.0612696687551963</v>
      </c>
      <c r="J460" s="289">
        <f>'Resultater - Vestdanmark'!J460+'Resultater - Østdanmark'!J460</f>
        <v>8.0107844843541365</v>
      </c>
      <c r="L460" s="169" t="s">
        <v>220</v>
      </c>
      <c r="M460" s="167">
        <v>14758.1</v>
      </c>
    </row>
    <row r="461" spans="1:13" hidden="1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6">
        <f>'Resultater - Vestdanmark'!H461+'Resultater - Østdanmark'!H461</f>
        <v>3.8599959280679998</v>
      </c>
      <c r="I461" s="288">
        <f>'Resultater - Vestdanmark'!I461+'Resultater - Østdanmark'!I461</f>
        <v>2.9715174480577859</v>
      </c>
      <c r="J461" s="289">
        <f>'Resultater - Vestdanmark'!J461+'Resultater - Østdanmark'!J461</f>
        <v>2.0930747201752138</v>
      </c>
      <c r="L461" s="169" t="s">
        <v>217</v>
      </c>
      <c r="M461" s="167">
        <v>1988.19</v>
      </c>
    </row>
    <row r="462" spans="1:13" hidden="1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6">
        <f>'Resultater - Vestdanmark'!H462+'Resultater - Østdanmark'!H462</f>
        <v>43.629098996273854</v>
      </c>
      <c r="I462" s="288">
        <f>'Resultater - Vestdanmark'!I462+'Resultater - Østdanmark'!I462</f>
        <v>41.66629223706866</v>
      </c>
      <c r="J462" s="289">
        <f>'Resultater - Vestdanmark'!J462+'Resultater - Østdanmark'!J462</f>
        <v>43.050695179176984</v>
      </c>
      <c r="L462" s="169" t="s">
        <v>218</v>
      </c>
      <c r="M462" s="167">
        <v>8944.93</v>
      </c>
    </row>
    <row r="463" spans="1:13" hidden="1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6">
        <f>'Resultater - Vestdanmark'!H463+'Resultater - Østdanmark'!H463</f>
        <v>17.543930524502301</v>
      </c>
      <c r="I463" s="288">
        <f>'Resultater - Vestdanmark'!I463+'Resultater - Østdanmark'!I463</f>
        <v>3.2635465811638609</v>
      </c>
      <c r="J463" s="289">
        <f>'Resultater - Vestdanmark'!J463+'Resultater - Østdanmark'!J463</f>
        <v>3.2635465811638582</v>
      </c>
      <c r="L463" s="169" t="s">
        <v>219</v>
      </c>
      <c r="M463" s="167">
        <v>18651.71</v>
      </c>
    </row>
    <row r="464" spans="1:13" hidden="1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6">
        <f ca="1">'Resultater - Vestdanmark'!H464+'Resultater - Østdanmark'!H464</f>
        <v>0</v>
      </c>
      <c r="I464" s="288">
        <f ca="1">'Resultater - Vestdanmark'!I464+'Resultater - Østdanmark'!I464</f>
        <v>0.3537433118835655</v>
      </c>
      <c r="J464" s="289">
        <f ca="1">'Resultater - Vestdanmark'!J464+'Resultater - Østdanmark'!J464</f>
        <v>0.41547408713355721</v>
      </c>
      <c r="L464" s="168" t="s">
        <v>110</v>
      </c>
      <c r="M464" s="167">
        <v>16604.849999999999</v>
      </c>
    </row>
    <row r="465" spans="1:13" s="170" customFormat="1" hidden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6">
        <f>'Resultater - Vestdanmark'!H465+'Resultater - Østdanmark'!H465</f>
        <v>0</v>
      </c>
      <c r="I465" s="288">
        <f>'Resultater - Vestdanmark'!I465+'Resultater - Østdanmark'!I465</f>
        <v>6.8932479999999989</v>
      </c>
      <c r="J465" s="289">
        <f>'Resultater - Vestdanmark'!J465+'Resultater - Østdanmark'!J465</f>
        <v>11.643999999999995</v>
      </c>
      <c r="L465" s="168"/>
      <c r="M465" s="167"/>
    </row>
    <row r="466" spans="1:13" s="170" customFormat="1" hidden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6">
        <f>'Resultater - Vestdanmark'!H466+'Resultater - Østdanmark'!H466</f>
        <v>0</v>
      </c>
      <c r="I466" s="288">
        <f>'Resultater - Vestdanmark'!I466+'Resultater - Østdanmark'!I466</f>
        <v>7.4272319999999983</v>
      </c>
      <c r="J466" s="289">
        <f>'Resultater - Vestdanmark'!J466+'Resultater - Østdanmark'!J466</f>
        <v>12.545999999999996</v>
      </c>
      <c r="L466" s="168"/>
      <c r="M466" s="167"/>
    </row>
    <row r="467" spans="1:13" hidden="1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0">
        <f ca="1">'Resultater - Vestdanmark'!H467+'Resultater - Østdanmark'!H467</f>
        <v>16.609927730843868</v>
      </c>
      <c r="I467" s="291">
        <f ca="1">'Resultater - Vestdanmark'!I467+'Resultater - Østdanmark'!I467</f>
        <v>19.885506095150863</v>
      </c>
      <c r="J467" s="292">
        <f ca="1">'Resultater - Vestdanmark'!J467+'Resultater - Østdanmark'!J467</f>
        <v>19.927245895298448</v>
      </c>
    </row>
    <row r="468" spans="1:13" hidden="1" x14ac:dyDescent="0.25">
      <c r="A468" s="156" t="str">
        <f>'Resultater - Vestdanmark'!A468</f>
        <v>Proteinproces</v>
      </c>
      <c r="B468" s="156" t="str">
        <f>'Resultater - Vestdanmark'!B468</f>
        <v/>
      </c>
      <c r="C468" s="156" t="str">
        <f>'Resultater - Vestdanmark'!C468</f>
        <v/>
      </c>
      <c r="D468" s="156" t="str">
        <f>'Resultater - Vestdanmark'!D468</f>
        <v>Græs</v>
      </c>
      <c r="E468" s="156" t="str">
        <f>'Resultater - Vestdanmark'!E468</f>
        <v>Ton</v>
      </c>
      <c r="F468" s="156" t="str">
        <f>'Resultater - Vestdanmark'!F468</f>
        <v>Græsprotein</v>
      </c>
      <c r="G468" s="156" t="str">
        <f>'Resultater - Vestdanmark'!G468</f>
        <v>Ton</v>
      </c>
      <c r="H468" s="293">
        <f>'Resultater - Vestdanmark'!H468+'Resultater - Østdanmark'!H468</f>
        <v>0</v>
      </c>
      <c r="I468" s="294">
        <f>'Resultater - Vestdanmark'!I468+'Resultater - Østdanmark'!I468</f>
        <v>441646.84855871997</v>
      </c>
      <c r="J468" s="295">
        <f>'Resultater - Vestdanmark'!J468+'Resultater - Østdanmark'!J468</f>
        <v>575018.93433600001</v>
      </c>
    </row>
    <row r="469" spans="1:13" hidden="1" x14ac:dyDescent="0.25">
      <c r="A469" s="156" t="str">
        <f>'Resultater - Vestdanmark'!A469</f>
        <v>Proteinproces</v>
      </c>
      <c r="B469" s="156" t="str">
        <f>'Resultater - Vestdanmark'!B469</f>
        <v/>
      </c>
      <c r="C469" s="156" t="str">
        <f>'Resultater - Vestdanmark'!C469</f>
        <v/>
      </c>
      <c r="D469" s="156" t="str">
        <f>'Resultater - Vestdanmark'!D469</f>
        <v>Græs</v>
      </c>
      <c r="E469" s="156" t="str">
        <f>'Resultater - Vestdanmark'!E469</f>
        <v>Ton</v>
      </c>
      <c r="F469" s="156" t="str">
        <f>'Resultater - Vestdanmark'!F469</f>
        <v>Fiberfraktion</v>
      </c>
      <c r="G469" s="156" t="str">
        <f>'Resultater - Vestdanmark'!G469</f>
        <v>Ton</v>
      </c>
      <c r="H469" s="293">
        <f>'Resultater - Vestdanmark'!H469+'Resultater - Østdanmark'!H469</f>
        <v>0</v>
      </c>
      <c r="I469" s="294">
        <f>'Resultater - Vestdanmark'!I469+'Resultater - Østdanmark'!I469</f>
        <v>909272.92350324709</v>
      </c>
      <c r="J469" s="295">
        <f>'Resultater - Vestdanmark'!J469+'Resultater - Østdanmark'!J469</f>
        <v>1183862.5118682354</v>
      </c>
    </row>
    <row r="470" spans="1:13" hidden="1" x14ac:dyDescent="0.25">
      <c r="A470" s="156" t="str">
        <f>'Resultater - Vestdanmark'!A470</f>
        <v>Proteinproces</v>
      </c>
      <c r="B470" s="156" t="str">
        <f>'Resultater - Vestdanmark'!B470</f>
        <v/>
      </c>
      <c r="C470" s="156" t="str">
        <f>'Resultater - Vestdanmark'!C470</f>
        <v/>
      </c>
      <c r="D470" s="156" t="str">
        <f>'Resultater - Vestdanmark'!D470</f>
        <v>Græs</v>
      </c>
      <c r="E470" s="156" t="str">
        <f>'Resultater - Vestdanmark'!E470</f>
        <v>Ton</v>
      </c>
      <c r="F470" s="156" t="str">
        <f>'Resultater - Vestdanmark'!F470</f>
        <v>Brun saft</v>
      </c>
      <c r="G470" s="156" t="str">
        <f>'Resultater - Vestdanmark'!G470</f>
        <v>PJ</v>
      </c>
      <c r="H470" s="293">
        <f>'Resultater - Vestdanmark'!H470+'Resultater - Østdanmark'!H470</f>
        <v>0</v>
      </c>
      <c r="I470" s="294">
        <f>'Resultater - Vestdanmark'!I470+'Resultater - Østdanmark'!I470</f>
        <v>1290960.7779401112</v>
      </c>
      <c r="J470" s="295">
        <f>'Resultater - Vestdanmark'!J470+'Resultater - Østdanmark'!J470</f>
        <v>1680815.5503050056</v>
      </c>
    </row>
    <row r="471" spans="1:13" hidden="1" x14ac:dyDescent="0.25">
      <c r="A471" s="156" t="str">
        <f>'Resultater - Vestdanmark'!A471</f>
        <v>Rapskageproduktion</v>
      </c>
      <c r="B471" s="156" t="str">
        <f>'Resultater - Vestdanmark'!B471</f>
        <v/>
      </c>
      <c r="C471" s="156" t="str">
        <f>'Resultater - Vestdanmark'!C471</f>
        <v/>
      </c>
      <c r="D471" s="156" t="str">
        <f>'Resultater - Vestdanmark'!D471</f>
        <v>Raps</v>
      </c>
      <c r="E471" s="156" t="str">
        <f>'Resultater - Vestdanmark'!E471</f>
        <v>Ton</v>
      </c>
      <c r="F471" s="156" t="str">
        <f>'Resultater - Vestdanmark'!F471</f>
        <v>Rapskage</v>
      </c>
      <c r="G471" s="156" t="str">
        <f>'Resultater - Vestdanmark'!G471</f>
        <v>Ton</v>
      </c>
      <c r="H471" s="293">
        <f>'Resultater - Vestdanmark'!H471+'Resultater - Østdanmark'!H471</f>
        <v>339203.90863921517</v>
      </c>
      <c r="I471" s="294">
        <f>'Resultater - Vestdanmark'!I471+'Resultater - Østdanmark'!I471</f>
        <v>404520.96735514275</v>
      </c>
      <c r="J471" s="295">
        <f>'Resultater - Vestdanmark'!J471+'Resultater - Østdanmark'!J471</f>
        <v>357624.30733723828</v>
      </c>
    </row>
    <row r="472" spans="1:13" hidden="1" x14ac:dyDescent="0.25">
      <c r="A472" s="156" t="str">
        <f>'Resultater - Vestdanmark'!A472</f>
        <v>Rapskageproduktion</v>
      </c>
      <c r="B472" s="156" t="str">
        <f>'Resultater - Vestdanmark'!B472</f>
        <v/>
      </c>
      <c r="C472" s="156" t="str">
        <f>'Resultater - Vestdanmark'!C472</f>
        <v/>
      </c>
      <c r="D472" s="156" t="str">
        <f>'Resultater - Vestdanmark'!D472</f>
        <v>Raps</v>
      </c>
      <c r="E472" s="156" t="str">
        <f>'Resultater - Vestdanmark'!E472</f>
        <v>Ton</v>
      </c>
      <c r="F472" s="156" t="str">
        <f>'Resultater - Vestdanmark'!F472</f>
        <v>Rapsolie</v>
      </c>
      <c r="G472" s="156" t="str">
        <f>'Resultater - Vestdanmark'!G472</f>
        <v>Ton</v>
      </c>
      <c r="H472" s="293">
        <f>'Resultater - Vestdanmark'!H472+'Resultater - Østdanmark'!H472</f>
        <v>217090.50152909773</v>
      </c>
      <c r="I472" s="294">
        <f>'Resultater - Vestdanmark'!I472+'Resultater - Østdanmark'!I472</f>
        <v>258893.41910729138</v>
      </c>
      <c r="J472" s="295">
        <f>'Resultater - Vestdanmark'!J472+'Resultater - Østdanmark'!J472</f>
        <v>228879.55669583252</v>
      </c>
    </row>
    <row r="473" spans="1:13" hidden="1" x14ac:dyDescent="0.25">
      <c r="A473" s="156" t="str">
        <f>'Resultater - Vestdanmark'!A473</f>
        <v>Pyrolyseproces</v>
      </c>
      <c r="B473" s="156" t="str">
        <f>'Resultater - Vestdanmark'!B473</f>
        <v/>
      </c>
      <c r="C473" s="156" t="str">
        <f>'Resultater - Vestdanmark'!C473</f>
        <v/>
      </c>
      <c r="D473" s="156" t="str">
        <f>'Resultater - Vestdanmark'!D473</f>
        <v>Halm</v>
      </c>
      <c r="E473" s="156" t="str">
        <f>'Resultater - Vestdanmark'!E473</f>
        <v>Ton</v>
      </c>
      <c r="F473" s="156" t="str">
        <f>'Resultater - Vestdanmark'!F473</f>
        <v>CO2 - atmosfære</v>
      </c>
      <c r="G473" s="156" t="str">
        <f>'Resultater - Vestdanmark'!G473</f>
        <v>t CO2-ækvivalenter</v>
      </c>
      <c r="H473" s="293">
        <f>'Resultater - Vestdanmark'!H473+'Resultater - Østdanmark'!H473</f>
        <v>0</v>
      </c>
      <c r="I473" s="294">
        <f>'Resultater - Vestdanmark'!I473+'Resultater - Østdanmark'!I473</f>
        <v>-965946.66666666663</v>
      </c>
      <c r="J473" s="295">
        <f>'Resultater - Vestdanmark'!J473+'Resultater - Østdanmark'!J473</f>
        <v>-1631666.666666666</v>
      </c>
    </row>
    <row r="474" spans="1:13" hidden="1" x14ac:dyDescent="0.25">
      <c r="A474" s="156" t="str">
        <f>'Resultater - Vestdanmark'!A474</f>
        <v>Pyrolyseproces</v>
      </c>
      <c r="B474" s="156" t="str">
        <f>'Resultater - Vestdanmark'!B474</f>
        <v/>
      </c>
      <c r="C474" s="156" t="str">
        <f>'Resultater - Vestdanmark'!C474</f>
        <v/>
      </c>
      <c r="D474" s="156" t="str">
        <f>'Resultater - Vestdanmark'!D474</f>
        <v>Halm</v>
      </c>
      <c r="E474" s="156" t="str">
        <f>'Resultater - Vestdanmark'!E474</f>
        <v>Ton</v>
      </c>
      <c r="F474" s="156" t="str">
        <f>'Resultater - Vestdanmark'!F474</f>
        <v>Pyrolyseolie</v>
      </c>
      <c r="G474" s="156" t="str">
        <f>'Resultater - Vestdanmark'!G474</f>
        <v>Ton</v>
      </c>
      <c r="H474" s="293">
        <f>'Resultater - Vestdanmark'!H474+'Resultater - Østdanmark'!H474</f>
        <v>0</v>
      </c>
      <c r="I474" s="294">
        <f>'Resultater - Vestdanmark'!I474+'Resultater - Østdanmark'!I474</f>
        <v>207200.00000000003</v>
      </c>
      <c r="J474" s="295">
        <f>'Resultater - Vestdanmark'!J474+'Resultater - Østdanmark'!J474</f>
        <v>349999.99999999994</v>
      </c>
    </row>
    <row r="475" spans="1:13" ht="15.75" hidden="1" thickBot="1" x14ac:dyDescent="0.3">
      <c r="A475" s="156" t="str">
        <f>'Resultater - Vestdanmark'!A475</f>
        <v>Pyrolyseproces</v>
      </c>
      <c r="B475" s="156" t="str">
        <f>'Resultater - Vestdanmark'!B475</f>
        <v/>
      </c>
      <c r="C475" s="156" t="str">
        <f>'Resultater - Vestdanmark'!C475</f>
        <v/>
      </c>
      <c r="D475" s="156" t="str">
        <f>'Resultater - Vestdanmark'!D475</f>
        <v>Halm</v>
      </c>
      <c r="E475" s="156" t="str">
        <f>'Resultater - Vestdanmark'!E475</f>
        <v>Ton</v>
      </c>
      <c r="F475" s="156" t="str">
        <f>'Resultater - Vestdanmark'!F475</f>
        <v>Pyrolysegas</v>
      </c>
      <c r="G475" s="156" t="str">
        <f>'Resultater - Vestdanmark'!G475</f>
        <v>Ton</v>
      </c>
      <c r="H475" s="296">
        <f>'Resultater - Vestdanmark'!H475+'Resultater - Østdanmark'!H475</f>
        <v>0</v>
      </c>
      <c r="I475" s="297">
        <f>'Resultater - Vestdanmark'!I475+'Resultater - Østdanmark'!I475</f>
        <v>828800.00000000012</v>
      </c>
      <c r="J475" s="298">
        <f>'Resultater - Vestdanmark'!J475+'Resultater - Østdanmark'!J475</f>
        <v>1399999.9999999998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>
    <filterColumn colId="5">
      <filters>
        <filter val="Halm"/>
      </filters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259" activeCellId="1" sqref="F115 F259"/>
    </sheetView>
  </sheetViews>
  <sheetFormatPr defaultColWidth="18" defaultRowHeight="15" x14ac:dyDescent="0.25"/>
  <cols>
    <col min="1" max="2" width="18.140625" style="189" bestFit="1" customWidth="1"/>
    <col min="3" max="3" width="8.140625" style="189" bestFit="1" customWidth="1"/>
    <col min="4" max="4" width="7.85546875" style="189" customWidth="1"/>
    <col min="5" max="5" width="11.140625" style="189" bestFit="1" customWidth="1"/>
    <col min="6" max="6" width="14.28515625" style="189" bestFit="1" customWidth="1"/>
    <col min="7" max="7" width="10.7109375" style="189" bestFit="1" customWidth="1"/>
    <col min="8" max="8" width="11.7109375" style="189" bestFit="1" customWidth="1"/>
    <col min="9" max="9" width="9" style="189" bestFit="1" customWidth="1"/>
    <col min="10" max="10" width="9.5703125" style="189" bestFit="1" customWidth="1"/>
    <col min="11" max="11" width="10.85546875" style="189" bestFit="1" customWidth="1"/>
    <col min="12" max="12" width="10.5703125" style="189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2" t="s">
        <v>253</v>
      </c>
      <c r="B1" s="362"/>
      <c r="C1" s="362"/>
      <c r="F1" s="363" t="s">
        <v>255</v>
      </c>
      <c r="G1" s="363"/>
      <c r="H1" s="363"/>
      <c r="I1" s="363"/>
      <c r="J1" s="363"/>
      <c r="K1" s="363"/>
      <c r="L1" s="363"/>
      <c r="M1" s="364"/>
      <c r="N1" s="365" t="s">
        <v>256</v>
      </c>
      <c r="O1" s="366"/>
      <c r="P1" s="367"/>
      <c r="Q1" s="359" t="s">
        <v>123</v>
      </c>
      <c r="R1" s="359"/>
      <c r="S1" s="359"/>
      <c r="T1" s="360"/>
      <c r="U1" s="361" t="s">
        <v>230</v>
      </c>
      <c r="V1" s="359"/>
      <c r="W1" s="359"/>
      <c r="X1" s="360"/>
    </row>
    <row r="2" spans="1:26" x14ac:dyDescent="0.25">
      <c r="A2" s="196" t="s">
        <v>129</v>
      </c>
      <c r="B2" s="196" t="s">
        <v>321</v>
      </c>
      <c r="C2" s="196" t="s">
        <v>130</v>
      </c>
      <c r="D2" s="196" t="s">
        <v>58</v>
      </c>
      <c r="E2" s="196" t="s">
        <v>64</v>
      </c>
      <c r="F2" s="196" t="s">
        <v>133</v>
      </c>
      <c r="G2" s="196" t="s">
        <v>113</v>
      </c>
      <c r="H2" s="196" t="s">
        <v>125</v>
      </c>
      <c r="I2" s="196" t="s">
        <v>128</v>
      </c>
      <c r="J2" s="196" t="s">
        <v>110</v>
      </c>
      <c r="K2" s="196" t="s">
        <v>115</v>
      </c>
      <c r="L2" s="196" t="s">
        <v>121</v>
      </c>
      <c r="M2" s="187" t="s">
        <v>224</v>
      </c>
      <c r="N2" s="199" t="s">
        <v>254</v>
      </c>
      <c r="O2" s="196" t="s">
        <v>131</v>
      </c>
      <c r="P2" s="200" t="s">
        <v>191</v>
      </c>
      <c r="Q2" s="196" t="s">
        <v>132</v>
      </c>
      <c r="R2" s="196" t="s">
        <v>233</v>
      </c>
      <c r="S2" s="196" t="s">
        <v>234</v>
      </c>
      <c r="T2" s="198" t="s">
        <v>293</v>
      </c>
      <c r="U2" s="197" t="s">
        <v>236</v>
      </c>
      <c r="V2" s="196" t="s">
        <v>235</v>
      </c>
      <c r="W2" s="196" t="s">
        <v>237</v>
      </c>
      <c r="X2" s="198" t="s">
        <v>292</v>
      </c>
      <c r="Y2" s="95" t="s">
        <v>287</v>
      </c>
      <c r="Z2" s="196" t="s">
        <v>309</v>
      </c>
    </row>
    <row r="3" spans="1:26" hidden="1" x14ac:dyDescent="0.25">
      <c r="A3" s="191" t="s">
        <v>15</v>
      </c>
      <c r="B3" s="191"/>
      <c r="C3" s="191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1">
        <f t="shared" ref="D3:D15" si="0">År1</f>
        <v>2019</v>
      </c>
      <c r="E3" s="189" t="s">
        <v>23</v>
      </c>
      <c r="F3" s="192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2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9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2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2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2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2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6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1">
        <f>F3-SUM(G3:M3)</f>
        <v>185027.43463784308</v>
      </c>
      <c r="O3" s="192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2">
        <f>SUM(J3,L3)</f>
        <v>0</v>
      </c>
      <c r="Q3" s="189">
        <f>IFERROR(VLOOKUP(A3,[1]Energiindhold!$A$2:$C$11,3,FALSE),IFERROR(VLOOKUP(A3,[1]Biogasudbytte!$A$2:$B$18,2,FALSE)*[1]Energiindhold!$C$10,0))*O3</f>
        <v>0</v>
      </c>
      <c r="R3" s="189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9">
        <f>IFERROR(VLOOKUP(A3,[1]Biogasudbytte!$A$2:$B$18,2,FALSE)*[1]Energiindhold!$C$10,0)*J3*IFERROR(VLOOKUP(A3,Biogasanlæg!$F$3:$G$8,2,FALSE),1)</f>
        <v>0</v>
      </c>
      <c r="T3" s="190">
        <f>R3-S3</f>
        <v>0</v>
      </c>
      <c r="U3" s="188">
        <f>O3*IFERROR(VLOOKUP(A3,[1]Tørstofindhold!A$2:B$24,2,FALSE),0)</f>
        <v>0</v>
      </c>
      <c r="V3" s="189">
        <f>IF(D3=År1,P3,SUM(O3,P3))*IFERROR(VLOOKUP(A3,[1]Tørstofindhold!A$2:B$24,2,FALSE),0)</f>
        <v>0</v>
      </c>
      <c r="W3" s="189">
        <f>J3*IFERROR(VLOOKUP(A3,[1]Tørstofindhold!A$2:B$24,2,FALSE),0)</f>
        <v>0</v>
      </c>
      <c r="X3" s="190">
        <f>V3-W3</f>
        <v>0</v>
      </c>
      <c r="Y3" s="170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1" t="s">
        <v>49</v>
      </c>
      <c r="B4" s="191"/>
      <c r="C4" s="191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1">
        <f t="shared" si="0"/>
        <v>2019</v>
      </c>
      <c r="E4" s="189" t="s">
        <v>23</v>
      </c>
      <c r="F4" s="192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2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9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2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2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2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2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6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1">
        <f t="shared" ref="N4:N15" si="4">F4-SUM(G4:M4)</f>
        <v>193587.85406079434</v>
      </c>
      <c r="O4" s="192">
        <f t="shared" si="1"/>
        <v>0</v>
      </c>
      <c r="P4" s="202">
        <f t="shared" ref="P4:P15" si="5">SUM(J4,L4)</f>
        <v>0</v>
      </c>
      <c r="Q4" s="189">
        <f>IFERROR(VLOOKUP(A4,[1]Energiindhold!$A$2:$C$11,3,FALSE),IFERROR(VLOOKUP(A4,[1]Biogasudbytte!$A$2:$B$18,2,FALSE)*[1]Energiindhold!$C$10,0))*O4</f>
        <v>0</v>
      </c>
      <c r="R4" s="189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9">
        <f>IFERROR(VLOOKUP(A4,[1]Biogasudbytte!$A$2:$B$18,2,FALSE)*[1]Energiindhold!$C$10,0)*J4*IFERROR(VLOOKUP(A4,Biogasanlæg!$F$3:$G$8,2,FALSE),1)</f>
        <v>0</v>
      </c>
      <c r="T4" s="190">
        <f t="shared" ref="T4:T15" si="6">R4-S4</f>
        <v>0</v>
      </c>
      <c r="U4" s="188">
        <f>O4*IFERROR(VLOOKUP(A4,[1]Tørstofindhold!A$2:B$24,2,FALSE),0)</f>
        <v>0</v>
      </c>
      <c r="V4" s="189">
        <f>IF(D4=År1,P4,SUM(O4,P4))*IFERROR(VLOOKUP(A4,[1]Tørstofindhold!A$2:B$24,2,FALSE),0)</f>
        <v>0</v>
      </c>
      <c r="W4" s="189">
        <f>J4*IFERROR(VLOOKUP(A4,[1]Tørstofindhold!A$2:B$24,2,FALSE),0)</f>
        <v>0</v>
      </c>
      <c r="X4" s="190">
        <f t="shared" ref="X4:X15" si="7">V4-W4</f>
        <v>0</v>
      </c>
      <c r="Y4" s="170">
        <f t="shared" si="2"/>
        <v>0</v>
      </c>
      <c r="Z4" s="103">
        <f t="shared" si="3"/>
        <v>1</v>
      </c>
    </row>
    <row r="5" spans="1:26" hidden="1" x14ac:dyDescent="0.25">
      <c r="A5" s="191" t="s">
        <v>103</v>
      </c>
      <c r="B5" s="191" t="s">
        <v>231</v>
      </c>
      <c r="C5" s="191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1">
        <f t="shared" si="0"/>
        <v>2019</v>
      </c>
      <c r="E5" s="189" t="s">
        <v>23</v>
      </c>
      <c r="F5" s="192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2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9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2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2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2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2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6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1">
        <f t="shared" ca="1" si="4"/>
        <v>-199952.34120163022</v>
      </c>
      <c r="O5" s="192">
        <f t="shared" ca="1" si="1"/>
        <v>0</v>
      </c>
      <c r="P5" s="202">
        <f t="shared" ca="1" si="5"/>
        <v>393543.64426779439</v>
      </c>
      <c r="Q5" s="189">
        <f ca="1">IFERROR(VLOOKUP(A5,[1]Energiindhold!$A$2:$C$11,3,FALSE),IFERROR(VLOOKUP(A5,[1]Biogasudbytte!$A$2:$B$18,2,FALSE)*[1]Energiindhold!$C$10,0))*O5</f>
        <v>0</v>
      </c>
      <c r="R5" s="189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9">
        <f ca="1">IFERROR(VLOOKUP(A5,[1]Biogasudbytte!$A$2:$B$18,2,FALSE)*[1]Energiindhold!$C$10,0)*J5*IFERROR(VLOOKUP(A5,Biogasanlæg!$F$3:$G$8,2,FALSE),1)</f>
        <v>1.3407677770923916</v>
      </c>
      <c r="T5" s="190">
        <f t="shared" ca="1" si="6"/>
        <v>0</v>
      </c>
      <c r="U5" s="188">
        <f ca="1">O5*IFERROR(VLOOKUP(A5,[1]Tørstofindhold!A$2:B$24,2,FALSE),0)</f>
        <v>0</v>
      </c>
      <c r="V5" s="189">
        <f ca="1">IF(D5=År1,P5,SUM(O5,P5))*IFERROR(VLOOKUP(A5,[1]Tørstofindhold!A$2:B$24,2,FALSE),0)</f>
        <v>110192.22039498243</v>
      </c>
      <c r="W5" s="189">
        <f ca="1">J5*IFERROR(VLOOKUP(A5,[1]Tørstofindhold!A$2:B$24,2,FALSE),0)</f>
        <v>110192.22039498243</v>
      </c>
      <c r="X5" s="190">
        <f t="shared" ca="1" si="7"/>
        <v>0</v>
      </c>
      <c r="Y5" s="170">
        <f t="shared" ca="1" si="2"/>
        <v>1</v>
      </c>
      <c r="Z5" s="103">
        <f t="shared" ca="1" si="3"/>
        <v>0</v>
      </c>
    </row>
    <row r="6" spans="1:26" hidden="1" x14ac:dyDescent="0.25">
      <c r="A6" s="191" t="s">
        <v>110</v>
      </c>
      <c r="B6" s="191"/>
      <c r="C6" s="191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1">
        <f t="shared" si="0"/>
        <v>2019</v>
      </c>
      <c r="E6" s="189" t="s">
        <v>23</v>
      </c>
      <c r="F6" s="192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2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9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2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2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2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2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6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1">
        <f t="shared" ca="1" si="4"/>
        <v>0</v>
      </c>
      <c r="O6" s="192">
        <f t="shared" ca="1" si="1"/>
        <v>0</v>
      </c>
      <c r="P6" s="202">
        <f t="shared" ca="1" si="5"/>
        <v>352020257.59705466</v>
      </c>
      <c r="Q6" s="189">
        <f ca="1">IFERROR(VLOOKUP(A6,[1]Energiindhold!$A$2:$C$11,3,FALSE),IFERROR(VLOOKUP(A6,[1]Biogasudbytte!$A$2:$B$18,2,FALSE)*[1]Energiindhold!$C$10,0))*O6</f>
        <v>0</v>
      </c>
      <c r="R6" s="189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9">
        <f>IFERROR(VLOOKUP(A6,[1]Biogasudbytte!$A$2:$B$18,2,FALSE)*[1]Energiindhold!$C$10,0)*J6*IFERROR(VLOOKUP(A6,Biogasanlæg!$F$3:$G$8,2,FALSE),1)</f>
        <v>0</v>
      </c>
      <c r="T6" s="190">
        <f t="shared" si="6"/>
        <v>0</v>
      </c>
      <c r="U6" s="188">
        <f ca="1">O6*IFERROR(VLOOKUP(A6,[1]Tørstofindhold!A$2:B$24,2,FALSE),0)</f>
        <v>0</v>
      </c>
      <c r="V6" s="189">
        <f ca="1">IF(D6=År1,P6,SUM(O6,P6))*IFERROR(VLOOKUP(A6,[1]Tørstofindhold!A$2:B$24,2,FALSE),0)</f>
        <v>0</v>
      </c>
      <c r="W6" s="189">
        <f>J6*IFERROR(VLOOKUP(A6,[1]Tørstofindhold!A$2:B$24,2,FALSE),0)</f>
        <v>0</v>
      </c>
      <c r="X6" s="190">
        <f t="shared" ca="1" si="7"/>
        <v>0</v>
      </c>
      <c r="Y6" s="170">
        <f t="shared" ca="1" si="2"/>
        <v>0</v>
      </c>
      <c r="Z6" s="103">
        <f t="shared" ca="1" si="3"/>
        <v>0</v>
      </c>
    </row>
    <row r="7" spans="1:26" hidden="1" x14ac:dyDescent="0.25">
      <c r="A7" s="191" t="s">
        <v>111</v>
      </c>
      <c r="B7" s="191"/>
      <c r="C7" s="191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1">
        <f t="shared" si="0"/>
        <v>2019</v>
      </c>
      <c r="E7" s="189" t="s">
        <v>23</v>
      </c>
      <c r="F7" s="192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2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9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2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2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2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2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6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1">
        <f t="shared" ca="1" si="4"/>
        <v>2569365.51571796</v>
      </c>
      <c r="O7" s="192">
        <f t="shared" si="1"/>
        <v>0</v>
      </c>
      <c r="P7" s="202">
        <f t="shared" si="5"/>
        <v>0</v>
      </c>
      <c r="Q7" s="189">
        <f>IFERROR(VLOOKUP(A7,[1]Energiindhold!$A$2:$C$11,3,FALSE),IFERROR(VLOOKUP(A7,[1]Biogasudbytte!$A$2:$B$18,2,FALSE)*[1]Energiindhold!$C$10,0))*O7</f>
        <v>0</v>
      </c>
      <c r="R7" s="189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9">
        <f>IFERROR(VLOOKUP(A7,[1]Biogasudbytte!$A$2:$B$18,2,FALSE)*[1]Energiindhold!$C$10,0)*J7*IFERROR(VLOOKUP(A7,Biogasanlæg!$F$3:$G$8,2,FALSE),1)</f>
        <v>0</v>
      </c>
      <c r="T7" s="190">
        <f t="shared" si="6"/>
        <v>0</v>
      </c>
      <c r="U7" s="188">
        <f>O7*IFERROR(VLOOKUP(A7,[1]Tørstofindhold!A$2:B$24,2,FALSE),0)</f>
        <v>0</v>
      </c>
      <c r="V7" s="189">
        <f>IF(D7=År1,P7,SUM(O7,P7))*IFERROR(VLOOKUP(A7,[1]Tørstofindhold!A$2:B$24,2,FALSE),0)</f>
        <v>0</v>
      </c>
      <c r="W7" s="189">
        <f>J7*IFERROR(VLOOKUP(A7,[1]Tørstofindhold!A$2:B$24,2,FALSE),0)</f>
        <v>0</v>
      </c>
      <c r="X7" s="190">
        <f t="shared" si="7"/>
        <v>0</v>
      </c>
      <c r="Y7" s="170">
        <f t="shared" ca="1" si="2"/>
        <v>0</v>
      </c>
      <c r="Z7" s="103">
        <f t="shared" ca="1" si="3"/>
        <v>1</v>
      </c>
    </row>
    <row r="8" spans="1:26" hidden="1" x14ac:dyDescent="0.25">
      <c r="A8" s="191" t="s">
        <v>209</v>
      </c>
      <c r="B8" s="191" t="s">
        <v>231</v>
      </c>
      <c r="C8" s="191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1">
        <f t="shared" si="0"/>
        <v>2019</v>
      </c>
      <c r="E8" s="189" t="s">
        <v>23</v>
      </c>
      <c r="F8" s="192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2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9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2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2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2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2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6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1">
        <f t="shared" si="4"/>
        <v>0</v>
      </c>
      <c r="O8" s="192">
        <f t="shared" si="1"/>
        <v>0</v>
      </c>
      <c r="P8" s="202">
        <f t="shared" si="5"/>
        <v>0</v>
      </c>
      <c r="Q8" s="189">
        <f>IFERROR(VLOOKUP(A8,[1]Energiindhold!$A$2:$C$11,3,FALSE),IFERROR(VLOOKUP(A8,[1]Biogasudbytte!$A$2:$B$18,2,FALSE)*[1]Energiindhold!$C$10,0))*O8</f>
        <v>0</v>
      </c>
      <c r="R8" s="189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9">
        <f>IFERROR(VLOOKUP(A8,[1]Biogasudbytte!$A$2:$B$18,2,FALSE)*[1]Energiindhold!$C$10,0)*J8*IFERROR(VLOOKUP(A8,Biogasanlæg!$F$3:$G$8,2,FALSE),1)</f>
        <v>0</v>
      </c>
      <c r="T8" s="190">
        <f t="shared" si="6"/>
        <v>0</v>
      </c>
      <c r="U8" s="188">
        <f>O8*IFERROR(VLOOKUP(A8,[1]Tørstofindhold!A$2:B$24,2,FALSE),0)</f>
        <v>0</v>
      </c>
      <c r="V8" s="189">
        <f>IF(D8=År1,P8,SUM(O8,P8))*IFERROR(VLOOKUP(A8,[1]Tørstofindhold!A$2:B$24,2,FALSE),0)</f>
        <v>0</v>
      </c>
      <c r="W8" s="189">
        <f>J8*IFERROR(VLOOKUP(A8,[1]Tørstofindhold!A$2:B$24,2,FALSE),0)</f>
        <v>0</v>
      </c>
      <c r="X8" s="190">
        <f t="shared" si="7"/>
        <v>0</v>
      </c>
      <c r="Y8" s="170">
        <f t="shared" si="2"/>
        <v>0</v>
      </c>
      <c r="Z8" s="103">
        <f t="shared" si="3"/>
        <v>0</v>
      </c>
    </row>
    <row r="9" spans="1:26" hidden="1" x14ac:dyDescent="0.25">
      <c r="A9" s="189" t="s">
        <v>102</v>
      </c>
      <c r="B9" s="191" t="s">
        <v>223</v>
      </c>
      <c r="C9" s="191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1">
        <f t="shared" si="0"/>
        <v>2019</v>
      </c>
      <c r="E9" s="189" t="s">
        <v>23</v>
      </c>
      <c r="F9" s="192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2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9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2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2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2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2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6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1">
        <f t="shared" si="4"/>
        <v>1198807.4305444965</v>
      </c>
      <c r="O9" s="192">
        <f t="shared" si="1"/>
        <v>1198807.4305444965</v>
      </c>
      <c r="P9" s="202">
        <f>SUM(J9,L9)</f>
        <v>671194.67155029252</v>
      </c>
      <c r="Q9" s="189">
        <f>IFERROR(VLOOKUP(A9,[1]Energiindhold!$A$2:$C$11,3,FALSE),IFERROR(VLOOKUP(A9,[1]Biogasudbytte!$A$2:$B$18,2,FALSE)*[1]Energiindhold!$C$10,0))*O9</f>
        <v>2.5822312053928456</v>
      </c>
      <c r="R9" s="189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9">
        <f>IFERROR(VLOOKUP(A9,[1]Biogasudbytte!$A$2:$B$18,2,FALSE)*[1]Energiindhold!$C$10,0)*J9*IFERROR(VLOOKUP(A9,Biogasanlæg!$F$3:$G$8,2,FALSE),1)</f>
        <v>1.4457533225193302</v>
      </c>
      <c r="T9" s="190">
        <f t="shared" si="6"/>
        <v>0</v>
      </c>
      <c r="U9" s="188">
        <f>O9*IFERROR(VLOOKUP(A9,[1]Tørstofindhold!A$2:B$24,2,FALSE),0)</f>
        <v>359642.22916334897</v>
      </c>
      <c r="V9" s="189">
        <f>IF(D9=År1,P9,SUM(O9,P9))*IFERROR(VLOOKUP(A9,[1]Tørstofindhold!A$2:B$24,2,FALSE),0)</f>
        <v>201358.40146508775</v>
      </c>
      <c r="W9" s="189">
        <f>J9*IFERROR(VLOOKUP(A9,[1]Tørstofindhold!A$2:B$24,2,FALSE),0)</f>
        <v>201358.40146508775</v>
      </c>
      <c r="X9" s="190">
        <f t="shared" si="7"/>
        <v>0</v>
      </c>
      <c r="Y9" s="170">
        <f t="shared" si="2"/>
        <v>0</v>
      </c>
      <c r="Z9" s="103">
        <f t="shared" si="3"/>
        <v>1</v>
      </c>
    </row>
    <row r="10" spans="1:26" hidden="1" x14ac:dyDescent="0.25">
      <c r="A10" s="189" t="s">
        <v>205</v>
      </c>
      <c r="B10" s="191"/>
      <c r="C10" s="191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1">
        <f t="shared" si="0"/>
        <v>2019</v>
      </c>
      <c r="E10" s="189" t="s">
        <v>23</v>
      </c>
      <c r="F10" s="192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2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9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2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2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2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2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6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1">
        <f t="shared" si="4"/>
        <v>0</v>
      </c>
      <c r="O10" s="192">
        <f t="shared" si="1"/>
        <v>0</v>
      </c>
      <c r="P10" s="202">
        <f t="shared" si="5"/>
        <v>0</v>
      </c>
      <c r="Q10" s="189">
        <f>IFERROR(VLOOKUP(A10,[1]Energiindhold!$A$2:$C$11,3,FALSE),IFERROR(VLOOKUP(A10,[1]Biogasudbytte!$A$2:$B$18,2,FALSE)*[1]Energiindhold!$C$10,0))*O10</f>
        <v>0</v>
      </c>
      <c r="R10" s="189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9">
        <f>IFERROR(VLOOKUP(A10,[1]Biogasudbytte!$A$2:$B$18,2,FALSE)*[1]Energiindhold!$C$10,0)*J10*IFERROR(VLOOKUP(A10,Biogasanlæg!$F$3:$G$8,2,FALSE),1)</f>
        <v>0</v>
      </c>
      <c r="T10" s="190">
        <f t="shared" si="6"/>
        <v>0</v>
      </c>
      <c r="U10" s="188">
        <f>O10*IFERROR(VLOOKUP(A10,[1]Tørstofindhold!A$2:B$24,2,FALSE),0)</f>
        <v>0</v>
      </c>
      <c r="V10" s="189">
        <f>IF(D10=År1,P10,SUM(O10,P10))*IFERROR(VLOOKUP(A10,[1]Tørstofindhold!A$2:B$24,2,FALSE),0)</f>
        <v>0</v>
      </c>
      <c r="W10" s="189">
        <f>J10*IFERROR(VLOOKUP(A10,[1]Tørstofindhold!A$2:B$24,2,FALSE),0)</f>
        <v>0</v>
      </c>
      <c r="X10" s="190">
        <f t="shared" si="7"/>
        <v>0</v>
      </c>
      <c r="Y10" s="170">
        <f t="shared" si="2"/>
        <v>0</v>
      </c>
      <c r="Z10" s="103">
        <f t="shared" si="3"/>
        <v>0</v>
      </c>
    </row>
    <row r="11" spans="1:26" hidden="1" x14ac:dyDescent="0.25">
      <c r="A11" s="189" t="s">
        <v>138</v>
      </c>
      <c r="B11" s="191" t="s">
        <v>223</v>
      </c>
      <c r="C11" s="191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1">
        <f t="shared" si="0"/>
        <v>2019</v>
      </c>
      <c r="E11" s="189" t="s">
        <v>23</v>
      </c>
      <c r="F11" s="192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2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9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2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2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2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2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6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1">
        <f t="shared" si="4"/>
        <v>0</v>
      </c>
      <c r="O11" s="192">
        <f t="shared" si="1"/>
        <v>0</v>
      </c>
      <c r="P11" s="202">
        <f t="shared" si="5"/>
        <v>4103.8061780475591</v>
      </c>
      <c r="Q11" s="189">
        <f>IFERROR(VLOOKUP(A11,[1]Energiindhold!$A$2:$C$11,3,FALSE),IFERROR(VLOOKUP(A11,[1]Biogasudbytte!$A$2:$B$18,2,FALSE)*[1]Energiindhold!$C$10,0))*O11</f>
        <v>0</v>
      </c>
      <c r="R11" s="189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9">
        <f>IFERROR(VLOOKUP(A11,[1]Biogasudbytte!$A$2:$B$18,2,FALSE)*[1]Energiindhold!$C$10,0)*J11*IFERROR(VLOOKUP(A11,Biogasanlæg!$F$3:$G$8,2,FALSE),1)</f>
        <v>1.9299790074739866E-3</v>
      </c>
      <c r="T11" s="190">
        <f t="shared" si="6"/>
        <v>0</v>
      </c>
      <c r="U11" s="188">
        <f>O11*IFERROR(VLOOKUP(A11,[1]Tørstofindhold!A$2:B$24,2,FALSE),0)</f>
        <v>0</v>
      </c>
      <c r="V11" s="189">
        <f>IF(D11=År1,P11,SUM(O11,P11))*IFERROR(VLOOKUP(A11,[1]Tørstofindhold!A$2:B$24,2,FALSE),0)</f>
        <v>258.53978921699621</v>
      </c>
      <c r="W11" s="189">
        <f>J11*IFERROR(VLOOKUP(A11,[1]Tørstofindhold!A$2:B$24,2,FALSE),0)</f>
        <v>258.53978921699621</v>
      </c>
      <c r="X11" s="190">
        <f t="shared" si="7"/>
        <v>0</v>
      </c>
      <c r="Y11" s="170">
        <f t="shared" si="2"/>
        <v>0</v>
      </c>
      <c r="Z11" s="103">
        <f t="shared" si="3"/>
        <v>0</v>
      </c>
    </row>
    <row r="12" spans="1:26" hidden="1" x14ac:dyDescent="0.25">
      <c r="A12" s="189" t="s">
        <v>97</v>
      </c>
      <c r="B12" s="191"/>
      <c r="C12" s="191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1">
        <f t="shared" si="0"/>
        <v>2019</v>
      </c>
      <c r="E12" s="189" t="s">
        <v>23</v>
      </c>
      <c r="F12" s="192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2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9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2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2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2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2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6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1">
        <f t="shared" si="4"/>
        <v>151426.86140259454</v>
      </c>
      <c r="O12" s="192">
        <f t="shared" si="1"/>
        <v>0</v>
      </c>
      <c r="P12" s="202">
        <f t="shared" si="5"/>
        <v>0</v>
      </c>
      <c r="Q12" s="189">
        <f>IFERROR(VLOOKUP(A12,[1]Energiindhold!$A$2:$C$11,3,FALSE),IFERROR(VLOOKUP(A12,[1]Biogasudbytte!$A$2:$B$18,2,FALSE)*[1]Energiindhold!$C$10,0))*O12</f>
        <v>0</v>
      </c>
      <c r="R12" s="189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9">
        <f>IFERROR(VLOOKUP(A12,[1]Biogasudbytte!$A$2:$B$18,2,FALSE)*[1]Energiindhold!$C$10,0)*J12*IFERROR(VLOOKUP(A12,Biogasanlæg!$F$3:$G$8,2,FALSE),1)</f>
        <v>0</v>
      </c>
      <c r="T12" s="190">
        <f t="shared" si="6"/>
        <v>0</v>
      </c>
      <c r="U12" s="188">
        <f>O12*IFERROR(VLOOKUP(A12,[1]Tørstofindhold!A$2:B$24,2,FALSE),0)</f>
        <v>0</v>
      </c>
      <c r="V12" s="189">
        <f>IF(D12=År1,P12,SUM(O12,P12))*IFERROR(VLOOKUP(A12,[1]Tørstofindhold!A$2:B$24,2,FALSE),0)</f>
        <v>0</v>
      </c>
      <c r="W12" s="189">
        <f>J12*IFERROR(VLOOKUP(A12,[1]Tørstofindhold!A$2:B$24,2,FALSE),0)</f>
        <v>0</v>
      </c>
      <c r="X12" s="190">
        <f t="shared" si="7"/>
        <v>0</v>
      </c>
      <c r="Y12" s="170">
        <f t="shared" si="2"/>
        <v>0</v>
      </c>
      <c r="Z12" s="103">
        <f t="shared" si="3"/>
        <v>1</v>
      </c>
    </row>
    <row r="13" spans="1:26" hidden="1" x14ac:dyDescent="0.25">
      <c r="A13" s="189" t="s">
        <v>114</v>
      </c>
      <c r="B13" s="191"/>
      <c r="C13" s="191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1">
        <f t="shared" si="0"/>
        <v>2019</v>
      </c>
      <c r="E13" s="189" t="s">
        <v>23</v>
      </c>
      <c r="F13" s="192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2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9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2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2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2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2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6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1">
        <f t="shared" si="4"/>
        <v>890042.58416558511</v>
      </c>
      <c r="O13" s="192">
        <f t="shared" si="1"/>
        <v>0</v>
      </c>
      <c r="P13" s="202">
        <f t="shared" si="5"/>
        <v>0</v>
      </c>
      <c r="Q13" s="189">
        <f>IFERROR(VLOOKUP(A13,[1]Energiindhold!$A$2:$C$11,3,FALSE),IFERROR(VLOOKUP(A13,[1]Biogasudbytte!$A$2:$B$18,2,FALSE)*[1]Energiindhold!$C$10,0))*O13</f>
        <v>0</v>
      </c>
      <c r="R13" s="189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9">
        <f>IFERROR(VLOOKUP(A13,[1]Biogasudbytte!$A$2:$B$18,2,FALSE)*[1]Energiindhold!$C$10,0)*J13*IFERROR(VLOOKUP(A13,Biogasanlæg!$F$3:$G$8,2,FALSE),1)</f>
        <v>0</v>
      </c>
      <c r="T13" s="190">
        <f t="shared" si="6"/>
        <v>0</v>
      </c>
      <c r="U13" s="188">
        <f>O13*IFERROR(VLOOKUP(A13,[1]Tørstofindhold!A$2:B$24,2,FALSE),0)</f>
        <v>0</v>
      </c>
      <c r="V13" s="189">
        <f>IF(D13=År1,P13,SUM(O13,P13))*IFERROR(VLOOKUP(A13,[1]Tørstofindhold!A$2:B$24,2,FALSE),0)</f>
        <v>0</v>
      </c>
      <c r="W13" s="189">
        <f>J13*IFERROR(VLOOKUP(A13,[1]Tørstofindhold!A$2:B$24,2,FALSE),0)</f>
        <v>0</v>
      </c>
      <c r="X13" s="190">
        <f t="shared" si="7"/>
        <v>0</v>
      </c>
      <c r="Y13" s="170">
        <f t="shared" si="2"/>
        <v>0</v>
      </c>
      <c r="Z13" s="103">
        <f t="shared" si="3"/>
        <v>1</v>
      </c>
    </row>
    <row r="14" spans="1:26" hidden="1" x14ac:dyDescent="0.25">
      <c r="A14" s="189" t="s">
        <v>54</v>
      </c>
      <c r="B14" s="191"/>
      <c r="C14" s="191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1">
        <f t="shared" si="0"/>
        <v>2019</v>
      </c>
      <c r="E14" s="189" t="s">
        <v>23</v>
      </c>
      <c r="F14" s="192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2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9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2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2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2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2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6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1">
        <f t="shared" si="4"/>
        <v>-223630.22327361835</v>
      </c>
      <c r="O14" s="192">
        <f t="shared" si="1"/>
        <v>0</v>
      </c>
      <c r="P14" s="202">
        <f t="shared" si="5"/>
        <v>0</v>
      </c>
      <c r="Q14" s="189">
        <f>IFERROR(VLOOKUP(A14,[1]Energiindhold!$A$2:$C$11,3,FALSE),IFERROR(VLOOKUP(A14,[1]Biogasudbytte!$A$2:$B$18,2,FALSE)*[1]Energiindhold!$C$10,0))*O14</f>
        <v>0</v>
      </c>
      <c r="R14" s="189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9">
        <f>IFERROR(VLOOKUP(A14,[1]Biogasudbytte!$A$2:$B$18,2,FALSE)*[1]Energiindhold!$C$10,0)*J14*IFERROR(VLOOKUP(A14,Biogasanlæg!$F$3:$G$8,2,FALSE),1)</f>
        <v>0</v>
      </c>
      <c r="T14" s="190">
        <f t="shared" si="6"/>
        <v>0</v>
      </c>
      <c r="U14" s="188">
        <f>O14*IFERROR(VLOOKUP(A14,[1]Tørstofindhold!A$2:B$24,2,FALSE),0)</f>
        <v>0</v>
      </c>
      <c r="V14" s="189">
        <f>IF(D14=År1,P14,SUM(O14,P14))*IFERROR(VLOOKUP(A14,[1]Tørstofindhold!A$2:B$24,2,FALSE),0)</f>
        <v>0</v>
      </c>
      <c r="W14" s="189">
        <f>J14*IFERROR(VLOOKUP(A14,[1]Tørstofindhold!A$2:B$24,2,FALSE),0)</f>
        <v>0</v>
      </c>
      <c r="X14" s="190">
        <f t="shared" si="7"/>
        <v>0</v>
      </c>
      <c r="Y14" s="170">
        <f t="shared" si="2"/>
        <v>1</v>
      </c>
      <c r="Z14" s="103">
        <f t="shared" si="3"/>
        <v>0</v>
      </c>
    </row>
    <row r="15" spans="1:26" hidden="1" x14ac:dyDescent="0.25">
      <c r="A15" s="191" t="s">
        <v>159</v>
      </c>
      <c r="B15" s="191" t="s">
        <v>159</v>
      </c>
      <c r="C15" s="191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1">
        <f t="shared" si="0"/>
        <v>2019</v>
      </c>
      <c r="E15" s="189" t="s">
        <v>23</v>
      </c>
      <c r="F15" s="192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2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9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2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2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2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2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6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1">
        <f t="shared" si="4"/>
        <v>-114193.60000000001</v>
      </c>
      <c r="O15" s="192">
        <f t="shared" si="1"/>
        <v>0</v>
      </c>
      <c r="P15" s="202">
        <f t="shared" si="5"/>
        <v>114193.60000000001</v>
      </c>
      <c r="Q15" s="189">
        <f>IFERROR(VLOOKUP(A15,[1]Energiindhold!$A$2:$C$11,3,FALSE),IFERROR(VLOOKUP(A15,[1]Biogasudbytte!$A$2:$B$18,2,FALSE)*[1]Energiindhold!$C$10,0))*O15</f>
        <v>0</v>
      </c>
      <c r="R15" s="189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9">
        <f>IFERROR(VLOOKUP(A15,[1]Biogasudbytte!$A$2:$B$18,2,FALSE)*[1]Energiindhold!$C$10,0)*J15*IFERROR(VLOOKUP(A15,Biogasanlæg!$F$3:$G$8,2,FALSE),1)</f>
        <v>1.7355855896064003</v>
      </c>
      <c r="T15" s="190">
        <f t="shared" si="6"/>
        <v>0</v>
      </c>
      <c r="U15" s="188">
        <f>O15*IFERROR(VLOOKUP(A15,[1]Tørstofindhold!A$2:B$24,2,FALSE),0)</f>
        <v>0</v>
      </c>
      <c r="V15" s="189">
        <f>IF(D15=År1,P15,SUM(O15,P15))*IFERROR(VLOOKUP(A15,[1]Tørstofindhold!A$2:B$24,2,FALSE),0)</f>
        <v>102774.24</v>
      </c>
      <c r="W15" s="189">
        <f>J15*IFERROR(VLOOKUP(A15,[1]Tørstofindhold!A$2:B$24,2,FALSE),0)</f>
        <v>102774.24</v>
      </c>
      <c r="X15" s="190">
        <f t="shared" si="7"/>
        <v>0</v>
      </c>
      <c r="Y15" s="170">
        <f t="shared" si="2"/>
        <v>1</v>
      </c>
      <c r="Z15" s="103">
        <f t="shared" si="3"/>
        <v>0</v>
      </c>
    </row>
    <row r="16" spans="1:26" hidden="1" x14ac:dyDescent="0.25">
      <c r="A16" s="191" t="s">
        <v>51</v>
      </c>
      <c r="B16" s="191" t="s">
        <v>225</v>
      </c>
      <c r="C16" s="191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1">
        <f t="shared" ref="D16:D50" si="8">År1</f>
        <v>2019</v>
      </c>
      <c r="E16" s="189" t="s">
        <v>23</v>
      </c>
      <c r="F16" s="192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2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9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2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2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2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2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6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1">
        <f t="shared" ref="N16:N81" si="9">F16-SUM(G16:M16)</f>
        <v>3550175.4953867961</v>
      </c>
      <c r="O16" s="192">
        <f t="shared" si="1"/>
        <v>3550175.4953867961</v>
      </c>
      <c r="P16" s="202">
        <f t="shared" ref="P16:P81" si="10">SUM(J16,L16)</f>
        <v>75746.163899662715</v>
      </c>
      <c r="Q16" s="189">
        <f>IFERROR(VLOOKUP(A16,[1]Energiindhold!$A$2:$C$11,3,FALSE),IFERROR(VLOOKUP(A16,[1]Biogasudbytte!$A$2:$B$18,2,FALSE)*[1]Energiindhold!$C$10,0))*O16</f>
        <v>6.5318791395747819</v>
      </c>
      <c r="R16" s="189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9">
        <f>IFERROR(VLOOKUP(A16,[1]Biogasudbytte!$A$2:$B$18,2,FALSE)*[1]Energiindhold!$C$10,0)*J16*IFERROR(VLOOKUP(A16,Biogasanlæg!$F$3:$G$8,2,FALSE),1)</f>
        <v>0.13936347330489193</v>
      </c>
      <c r="T16" s="190">
        <f t="shared" ref="T16:T81" si="11">R16-S16</f>
        <v>0</v>
      </c>
      <c r="U16" s="188">
        <f>O16*IFERROR(VLOOKUP(A16,[1]Tørstofindhold!A$2:B$24,2,FALSE),0)</f>
        <v>994049.13870830298</v>
      </c>
      <c r="V16" s="189">
        <f>IF(D16=År1,P16,SUM(O16,P16))*IFERROR(VLOOKUP(A16,[1]Tørstofindhold!A$2:B$24,2,FALSE),0)</f>
        <v>21208.925891905561</v>
      </c>
      <c r="W16" s="189">
        <f>J16*IFERROR(VLOOKUP(A16,[1]Tørstofindhold!A$2:B$24,2,FALSE),0)</f>
        <v>21208.925891905561</v>
      </c>
      <c r="X16" s="190">
        <f t="shared" ref="X16:X81" si="12">V16-W16</f>
        <v>0</v>
      </c>
      <c r="Y16" s="170">
        <f t="shared" si="2"/>
        <v>0</v>
      </c>
      <c r="Z16" s="103">
        <f t="shared" si="3"/>
        <v>1</v>
      </c>
    </row>
    <row r="17" spans="1:26" hidden="1" x14ac:dyDescent="0.25">
      <c r="A17" s="191" t="s">
        <v>204</v>
      </c>
      <c r="B17" s="191"/>
      <c r="C17" s="191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1">
        <f t="shared" si="8"/>
        <v>2019</v>
      </c>
      <c r="E17" s="189" t="s">
        <v>23</v>
      </c>
      <c r="F17" s="192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2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9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2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2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2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2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6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1">
        <f t="shared" si="9"/>
        <v>0</v>
      </c>
      <c r="O17" s="192">
        <f t="shared" si="1"/>
        <v>0</v>
      </c>
      <c r="P17" s="202">
        <f t="shared" si="10"/>
        <v>0</v>
      </c>
      <c r="Q17" s="189">
        <f>IFERROR(VLOOKUP(A17,[1]Energiindhold!$A$2:$C$11,3,FALSE),IFERROR(VLOOKUP(A17,[1]Biogasudbytte!$A$2:$B$18,2,FALSE)*[1]Energiindhold!$C$10,0))*O17</f>
        <v>0</v>
      </c>
      <c r="R17" s="189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9">
        <f>IFERROR(VLOOKUP(A17,[1]Biogasudbytte!$A$2:$B$18,2,FALSE)*[1]Energiindhold!$C$10,0)*J17*IFERROR(VLOOKUP(A17,Biogasanlæg!$F$3:$G$8,2,FALSE),1)</f>
        <v>0</v>
      </c>
      <c r="T17" s="190">
        <f t="shared" si="11"/>
        <v>0</v>
      </c>
      <c r="U17" s="188">
        <f>O17*IFERROR(VLOOKUP(A17,[1]Tørstofindhold!A$2:B$24,2,FALSE),0)</f>
        <v>0</v>
      </c>
      <c r="V17" s="189">
        <f>IF(D17=År1,P17,SUM(O17,P17))*IFERROR(VLOOKUP(A17,[1]Tørstofindhold!A$2:B$24,2,FALSE),0)</f>
        <v>0</v>
      </c>
      <c r="W17" s="189">
        <f>J17*IFERROR(VLOOKUP(A17,[1]Tørstofindhold!A$2:B$24,2,FALSE),0)</f>
        <v>0</v>
      </c>
      <c r="X17" s="190">
        <f t="shared" si="12"/>
        <v>0</v>
      </c>
      <c r="Y17" s="170">
        <f t="shared" si="2"/>
        <v>0</v>
      </c>
      <c r="Z17" s="103">
        <f t="shared" si="3"/>
        <v>0</v>
      </c>
    </row>
    <row r="18" spans="1:26" hidden="1" x14ac:dyDescent="0.25">
      <c r="A18" s="191" t="s">
        <v>6</v>
      </c>
      <c r="B18" s="191"/>
      <c r="C18" s="191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1">
        <f t="shared" si="8"/>
        <v>2019</v>
      </c>
      <c r="E18" s="189" t="s">
        <v>23</v>
      </c>
      <c r="F18" s="192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2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9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2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2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2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2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6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1">
        <f t="shared" si="9"/>
        <v>-76844.925452788419</v>
      </c>
      <c r="O18" s="192">
        <f t="shared" si="1"/>
        <v>0</v>
      </c>
      <c r="P18" s="202">
        <f t="shared" si="10"/>
        <v>0</v>
      </c>
      <c r="Q18" s="189">
        <f>IFERROR(VLOOKUP(A18,[1]Energiindhold!$A$2:$C$11,3,FALSE),IFERROR(VLOOKUP(A18,[1]Biogasudbytte!$A$2:$B$18,2,FALSE)*[1]Energiindhold!$C$10,0))*O18</f>
        <v>0</v>
      </c>
      <c r="R18" s="189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9">
        <f>IFERROR(VLOOKUP(A18,[1]Biogasudbytte!$A$2:$B$18,2,FALSE)*[1]Energiindhold!$C$10,0)*J18*IFERROR(VLOOKUP(A18,Biogasanlæg!$F$3:$G$8,2,FALSE),1)</f>
        <v>0</v>
      </c>
      <c r="T18" s="190">
        <f t="shared" si="11"/>
        <v>0</v>
      </c>
      <c r="U18" s="188">
        <f>O18*IFERROR(VLOOKUP(A18,[1]Tørstofindhold!A$2:B$24,2,FALSE),0)</f>
        <v>0</v>
      </c>
      <c r="V18" s="189">
        <f>IF(D18=År1,P18,SUM(O18,P18))*IFERROR(VLOOKUP(A18,[1]Tørstofindhold!A$2:B$24,2,FALSE),0)</f>
        <v>0</v>
      </c>
      <c r="W18" s="189">
        <f>J18*IFERROR(VLOOKUP(A18,[1]Tørstofindhold!A$2:B$24,2,FALSE),0)</f>
        <v>0</v>
      </c>
      <c r="X18" s="190">
        <f t="shared" si="12"/>
        <v>0</v>
      </c>
      <c r="Y18" s="170">
        <f t="shared" si="2"/>
        <v>1</v>
      </c>
      <c r="Z18" s="103">
        <f t="shared" si="3"/>
        <v>0</v>
      </c>
    </row>
    <row r="19" spans="1:26" hidden="1" x14ac:dyDescent="0.25">
      <c r="A19" s="191" t="s">
        <v>68</v>
      </c>
      <c r="B19" s="191" t="s">
        <v>228</v>
      </c>
      <c r="C19" s="191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1">
        <f t="shared" si="8"/>
        <v>2019</v>
      </c>
      <c r="E19" s="189" t="s">
        <v>23</v>
      </c>
      <c r="F19" s="192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2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9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2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2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2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2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6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1">
        <f t="shared" si="9"/>
        <v>0</v>
      </c>
      <c r="O19" s="192">
        <f t="shared" si="1"/>
        <v>0</v>
      </c>
      <c r="P19" s="202">
        <f t="shared" si="10"/>
        <v>1212729.2061799087</v>
      </c>
      <c r="Q19" s="189">
        <f>IFERROR(VLOOKUP(A19,[1]Energiindhold!$A$2:$C$11,3,FALSE),IFERROR(VLOOKUP(A19,[1]Biogasudbytte!$A$2:$B$18,2,FALSE)*[1]Energiindhold!$C$10,0))*O19</f>
        <v>0</v>
      </c>
      <c r="R19" s="189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9">
        <f>IFERROR(VLOOKUP(A19,[1]Biogasudbytte!$A$2:$B$18,2,FALSE)*[1]Energiindhold!$C$10,0)*J19*IFERROR(VLOOKUP(A19,Biogasanlæg!$F$3:$G$8,2,FALSE),1)</f>
        <v>0.3063744116894675</v>
      </c>
      <c r="T19" s="190">
        <f t="shared" si="11"/>
        <v>11.985300912376998</v>
      </c>
      <c r="U19" s="188">
        <f>O19*IFERROR(VLOOKUP(A19,[1]Tørstofindhold!A$2:B$24,2,FALSE),0)</f>
        <v>0</v>
      </c>
      <c r="V19" s="189">
        <f>IF(D19=År1,P19,SUM(O19,P19))*IFERROR(VLOOKUP(A19,[1]Tørstofindhold!A$2:B$24,2,FALSE),0)</f>
        <v>1030819.8252529224</v>
      </c>
      <c r="W19" s="189">
        <f>J19*IFERROR(VLOOKUP(A19,[1]Tørstofindhold!A$2:B$24,2,FALSE),0)</f>
        <v>45168.058835086973</v>
      </c>
      <c r="X19" s="190">
        <f t="shared" si="12"/>
        <v>985651.76641783537</v>
      </c>
      <c r="Y19" s="170">
        <f t="shared" si="2"/>
        <v>0</v>
      </c>
      <c r="Z19" s="103">
        <f t="shared" si="3"/>
        <v>0</v>
      </c>
    </row>
    <row r="20" spans="1:26" hidden="1" x14ac:dyDescent="0.25">
      <c r="A20" s="191" t="s">
        <v>163</v>
      </c>
      <c r="B20" s="191" t="s">
        <v>231</v>
      </c>
      <c r="C20" s="191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1">
        <f t="shared" si="8"/>
        <v>2019</v>
      </c>
      <c r="E20" s="189" t="s">
        <v>23</v>
      </c>
      <c r="F20" s="192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2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9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2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2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2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2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6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1">
        <f t="shared" si="9"/>
        <v>0</v>
      </c>
      <c r="O20" s="192">
        <f t="shared" si="1"/>
        <v>0</v>
      </c>
      <c r="P20" s="202">
        <f t="shared" si="10"/>
        <v>530462.48766233202</v>
      </c>
      <c r="Q20" s="189">
        <f>IFERROR(VLOOKUP(A20,[1]Energiindhold!$A$2:$C$11,3,FALSE),IFERROR(VLOOKUP(A20,[1]Biogasudbytte!$A$2:$B$18,2,FALSE)*[1]Energiindhold!$C$10,0))*O20</f>
        <v>0</v>
      </c>
      <c r="R20" s="189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9">
        <f>IFERROR(VLOOKUP(A20,[1]Biogasudbytte!$A$2:$B$18,2,FALSE)*[1]Energiindhold!$C$10,0)*J20*IFERROR(VLOOKUP(A20,Biogasanlæg!$F$3:$G$8,2,FALSE),1)</f>
        <v>7.148842760000421E-5</v>
      </c>
      <c r="T20" s="190">
        <f t="shared" si="11"/>
        <v>9.4691817325671721</v>
      </c>
      <c r="U20" s="188">
        <f>O20*IFERROR(VLOOKUP(A20,[1]Tørstofindhold!A$2:B$24,2,FALSE),0)</f>
        <v>0</v>
      </c>
      <c r="V20" s="189">
        <f>IF(D20=År1,P20,SUM(O20,P20))*IFERROR(VLOOKUP(A20,[1]Tørstofindhold!A$2:B$24,2,FALSE),0)</f>
        <v>159138.74629869961</v>
      </c>
      <c r="W20" s="189">
        <f>J20*IFERROR(VLOOKUP(A20,[1]Tørstofindhold!A$2:B$24,2,FALSE),0)</f>
        <v>12.629943571231609</v>
      </c>
      <c r="X20" s="190">
        <f t="shared" si="12"/>
        <v>159126.11635512838</v>
      </c>
      <c r="Y20" s="170">
        <f t="shared" si="2"/>
        <v>0</v>
      </c>
      <c r="Z20" s="103">
        <f t="shared" si="3"/>
        <v>0</v>
      </c>
    </row>
    <row r="21" spans="1:26" hidden="1" x14ac:dyDescent="0.25">
      <c r="A21" s="189" t="s">
        <v>160</v>
      </c>
      <c r="B21" s="191"/>
      <c r="C21" s="191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1">
        <f t="shared" si="8"/>
        <v>2019</v>
      </c>
      <c r="E21" s="189" t="s">
        <v>23</v>
      </c>
      <c r="F21" s="192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2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9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2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2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2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2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6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1">
        <f t="shared" si="9"/>
        <v>-4828427.5390456235</v>
      </c>
      <c r="O21" s="192">
        <f t="shared" si="1"/>
        <v>0</v>
      </c>
      <c r="P21" s="202">
        <f t="shared" si="10"/>
        <v>0</v>
      </c>
      <c r="Q21" s="189">
        <f>IFERROR(VLOOKUP(A21,[1]Energiindhold!$A$2:$C$11,3,FALSE),IFERROR(VLOOKUP(A21,[1]Biogasudbytte!$A$2:$B$18,2,FALSE)*[1]Energiindhold!$C$10,0))*O21</f>
        <v>0</v>
      </c>
      <c r="R21" s="189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9">
        <f>IFERROR(VLOOKUP(A21,[1]Biogasudbytte!$A$2:$B$18,2,FALSE)*[1]Energiindhold!$C$10,0)*J21*IFERROR(VLOOKUP(A21,Biogasanlæg!$F$3:$G$8,2,FALSE),1)</f>
        <v>0</v>
      </c>
      <c r="T21" s="190">
        <f t="shared" si="11"/>
        <v>0</v>
      </c>
      <c r="U21" s="188">
        <f>O21*IFERROR(VLOOKUP(A21,[1]Tørstofindhold!A$2:B$24,2,FALSE),0)</f>
        <v>0</v>
      </c>
      <c r="V21" s="189">
        <f>IF(D21=År1,P21,SUM(O21,P21))*IFERROR(VLOOKUP(A21,[1]Tørstofindhold!A$2:B$24,2,FALSE),0)</f>
        <v>0</v>
      </c>
      <c r="W21" s="189">
        <f>J21*IFERROR(VLOOKUP(A21,[1]Tørstofindhold!A$2:B$24,2,FALSE),0)</f>
        <v>0</v>
      </c>
      <c r="X21" s="190">
        <f t="shared" si="12"/>
        <v>0</v>
      </c>
      <c r="Y21" s="170">
        <f t="shared" si="2"/>
        <v>1</v>
      </c>
      <c r="Z21" s="103">
        <f t="shared" si="3"/>
        <v>0</v>
      </c>
    </row>
    <row r="22" spans="1:26" hidden="1" x14ac:dyDescent="0.25">
      <c r="A22" s="191" t="s">
        <v>104</v>
      </c>
      <c r="B22" s="191" t="s">
        <v>231</v>
      </c>
      <c r="C22" s="191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1">
        <f t="shared" si="8"/>
        <v>2019</v>
      </c>
      <c r="E22" s="189" t="s">
        <v>23</v>
      </c>
      <c r="F22" s="192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2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9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2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2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2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2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6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1">
        <f t="shared" si="9"/>
        <v>-203061.53166372905</v>
      </c>
      <c r="O22" s="192">
        <f t="shared" si="1"/>
        <v>0</v>
      </c>
      <c r="P22" s="202">
        <f t="shared" si="10"/>
        <v>716103.75203569303</v>
      </c>
      <c r="Q22" s="189">
        <f>IFERROR(VLOOKUP(A22,[1]Energiindhold!$A$2:$C$11,3,FALSE),IFERROR(VLOOKUP(A22,[1]Biogasudbytte!$A$2:$B$18,2,FALSE)*[1]Energiindhold!$C$10,0))*O22</f>
        <v>0</v>
      </c>
      <c r="R22" s="189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9">
        <f>IFERROR(VLOOKUP(A22,[1]Biogasudbytte!$A$2:$B$18,2,FALSE)*[1]Energiindhold!$C$10,0)*J22*IFERROR(VLOOKUP(A22,Biogasanlæg!$F$3:$G$8,2,FALSE),1)</f>
        <v>2.637525053399659</v>
      </c>
      <c r="T22" s="190">
        <f t="shared" si="11"/>
        <v>0</v>
      </c>
      <c r="U22" s="188">
        <f>O22*IFERROR(VLOOKUP(A22,[1]Tørstofindhold!A$2:B$24,2,FALSE),0)</f>
        <v>0</v>
      </c>
      <c r="V22" s="189">
        <f>IF(D22=År1,P22,SUM(O22,P22))*IFERROR(VLOOKUP(A22,[1]Tørstofindhold!A$2:B$24,2,FALSE),0)</f>
        <v>300763.57585499104</v>
      </c>
      <c r="W22" s="189">
        <f>J22*IFERROR(VLOOKUP(A22,[1]Tørstofindhold!A$2:B$24,2,FALSE),0)</f>
        <v>300763.57585499104</v>
      </c>
      <c r="X22" s="190">
        <f t="shared" si="12"/>
        <v>0</v>
      </c>
      <c r="Y22" s="170">
        <f t="shared" si="2"/>
        <v>1</v>
      </c>
      <c r="Z22" s="103">
        <f t="shared" si="3"/>
        <v>0</v>
      </c>
    </row>
    <row r="23" spans="1:26" hidden="1" x14ac:dyDescent="0.25">
      <c r="A23" s="191" t="s">
        <v>56</v>
      </c>
      <c r="B23" s="191"/>
      <c r="C23" s="191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1">
        <f t="shared" si="8"/>
        <v>2019</v>
      </c>
      <c r="E23" s="189" t="s">
        <v>23</v>
      </c>
      <c r="F23" s="192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2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9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2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2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2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2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6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1">
        <f t="shared" si="9"/>
        <v>765723.03528474667</v>
      </c>
      <c r="O23" s="192">
        <f t="shared" si="1"/>
        <v>0</v>
      </c>
      <c r="P23" s="202">
        <f t="shared" si="10"/>
        <v>0</v>
      </c>
      <c r="Q23" s="189">
        <f>IFERROR(VLOOKUP(A23,[1]Energiindhold!$A$2:$C$11,3,FALSE),IFERROR(VLOOKUP(A23,[1]Biogasudbytte!$A$2:$B$18,2,FALSE)*[1]Energiindhold!$C$10,0))*O23</f>
        <v>0</v>
      </c>
      <c r="R23" s="189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9">
        <f>IFERROR(VLOOKUP(A23,[1]Biogasudbytte!$A$2:$B$18,2,FALSE)*[1]Energiindhold!$C$10,0)*J23*IFERROR(VLOOKUP(A23,Biogasanlæg!$F$3:$G$8,2,FALSE),1)</f>
        <v>0</v>
      </c>
      <c r="T23" s="190">
        <f t="shared" si="11"/>
        <v>0</v>
      </c>
      <c r="U23" s="188">
        <f>O23*IFERROR(VLOOKUP(A23,[1]Tørstofindhold!A$2:B$24,2,FALSE),0)</f>
        <v>0</v>
      </c>
      <c r="V23" s="189">
        <f>IF(D23=År1,P23,SUM(O23,P23))*IFERROR(VLOOKUP(A23,[1]Tørstofindhold!A$2:B$24,2,FALSE),0)</f>
        <v>0</v>
      </c>
      <c r="W23" s="189">
        <f>J23*IFERROR(VLOOKUP(A23,[1]Tørstofindhold!A$2:B$24,2,FALSE),0)</f>
        <v>0</v>
      </c>
      <c r="X23" s="190">
        <f t="shared" si="12"/>
        <v>0</v>
      </c>
      <c r="Y23" s="170">
        <f t="shared" si="2"/>
        <v>0</v>
      </c>
      <c r="Z23" s="103">
        <f t="shared" si="3"/>
        <v>1</v>
      </c>
    </row>
    <row r="24" spans="1:26" hidden="1" x14ac:dyDescent="0.25">
      <c r="A24" s="191" t="s">
        <v>12</v>
      </c>
      <c r="B24" s="191"/>
      <c r="C24" s="191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1">
        <f t="shared" si="8"/>
        <v>2019</v>
      </c>
      <c r="E24" s="189" t="s">
        <v>23</v>
      </c>
      <c r="F24" s="192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2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9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2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2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2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2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6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1">
        <f t="shared" si="9"/>
        <v>2026381.0153085976</v>
      </c>
      <c r="O24" s="192">
        <f t="shared" si="1"/>
        <v>0</v>
      </c>
      <c r="P24" s="202">
        <f t="shared" si="10"/>
        <v>0</v>
      </c>
      <c r="Q24" s="189">
        <f>IFERROR(VLOOKUP(A24,[1]Energiindhold!$A$2:$C$11,3,FALSE),IFERROR(VLOOKUP(A24,[1]Biogasudbytte!$A$2:$B$18,2,FALSE)*[1]Energiindhold!$C$10,0))*O24</f>
        <v>0</v>
      </c>
      <c r="R24" s="189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9">
        <f>IFERROR(VLOOKUP(A24,[1]Biogasudbytte!$A$2:$B$18,2,FALSE)*[1]Energiindhold!$C$10,0)*J24*IFERROR(VLOOKUP(A24,Biogasanlæg!$F$3:$G$8,2,FALSE),1)</f>
        <v>0</v>
      </c>
      <c r="T24" s="190">
        <f t="shared" si="11"/>
        <v>0</v>
      </c>
      <c r="U24" s="188">
        <f>O24*IFERROR(VLOOKUP(A24,[1]Tørstofindhold!A$2:B$24,2,FALSE),0)</f>
        <v>0</v>
      </c>
      <c r="V24" s="189">
        <f>IF(D24=År1,P24,SUM(O24,P24))*IFERROR(VLOOKUP(A24,[1]Tørstofindhold!A$2:B$24,2,FALSE),0)</f>
        <v>0</v>
      </c>
      <c r="W24" s="189">
        <f>J24*IFERROR(VLOOKUP(A24,[1]Tørstofindhold!A$2:B$24,2,FALSE),0)</f>
        <v>0</v>
      </c>
      <c r="X24" s="190">
        <f t="shared" si="12"/>
        <v>0</v>
      </c>
      <c r="Y24" s="170">
        <f t="shared" si="2"/>
        <v>0</v>
      </c>
      <c r="Z24" s="103">
        <f t="shared" si="3"/>
        <v>1</v>
      </c>
    </row>
    <row r="25" spans="1:26" hidden="1" x14ac:dyDescent="0.25">
      <c r="A25" s="191" t="s">
        <v>48</v>
      </c>
      <c r="B25" s="191" t="s">
        <v>228</v>
      </c>
      <c r="C25" s="191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1">
        <f t="shared" si="8"/>
        <v>2019</v>
      </c>
      <c r="E25" s="189" t="s">
        <v>23</v>
      </c>
      <c r="F25" s="192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2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9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2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2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2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2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6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1">
        <f t="shared" si="9"/>
        <v>665604.70837060641</v>
      </c>
      <c r="O25" s="192">
        <f t="shared" si="1"/>
        <v>665604.70837060641</v>
      </c>
      <c r="P25" s="202">
        <f t="shared" si="10"/>
        <v>2840.1853290986264</v>
      </c>
      <c r="Q25" s="189">
        <f>IFERROR(VLOOKUP(A25,[1]Energiindhold!$A$2:$C$11,3,FALSE),IFERROR(VLOOKUP(A25,[1]Biogasudbytte!$A$2:$B$18,2,FALSE)*[1]Energiindhold!$C$10,0))*O25</f>
        <v>2.2796029415101553</v>
      </c>
      <c r="R25" s="189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9">
        <f>IFERROR(VLOOKUP(A25,[1]Biogasudbytte!$A$2:$B$18,2,FALSE)*[1]Energiindhold!$C$10,0)*J25*IFERROR(VLOOKUP(A25,Biogasanlæg!$F$3:$G$8,2,FALSE),1)</f>
        <v>9.7272371262167243E-3</v>
      </c>
      <c r="T25" s="190">
        <f t="shared" si="11"/>
        <v>0</v>
      </c>
      <c r="U25" s="188">
        <f>O25*IFERROR(VLOOKUP(A25,[1]Tørstofindhold!A$2:B$24,2,FALSE),0)</f>
        <v>206337.459594888</v>
      </c>
      <c r="V25" s="189">
        <f>IF(D25=År1,P25,SUM(O25,P25))*IFERROR(VLOOKUP(A25,[1]Tørstofindhold!A$2:B$24,2,FALSE),0)</f>
        <v>880.45745202057424</v>
      </c>
      <c r="W25" s="189">
        <f>J25*IFERROR(VLOOKUP(A25,[1]Tørstofindhold!A$2:B$24,2,FALSE),0)</f>
        <v>880.45745202057424</v>
      </c>
      <c r="X25" s="190">
        <f t="shared" si="12"/>
        <v>0</v>
      </c>
      <c r="Y25" s="170">
        <f t="shared" si="2"/>
        <v>0</v>
      </c>
      <c r="Z25" s="103">
        <f t="shared" si="3"/>
        <v>1</v>
      </c>
    </row>
    <row r="26" spans="1:26" hidden="1" x14ac:dyDescent="0.25">
      <c r="A26" s="191" t="s">
        <v>116</v>
      </c>
      <c r="B26" s="191"/>
      <c r="C26" s="191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1">
        <f t="shared" si="8"/>
        <v>2019</v>
      </c>
      <c r="E26" s="189" t="s">
        <v>23</v>
      </c>
      <c r="F26" s="192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2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9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2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2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2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2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6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1">
        <f t="shared" ca="1" si="9"/>
        <v>-567745.18896312197</v>
      </c>
      <c r="O26" s="192">
        <f t="shared" si="1"/>
        <v>0</v>
      </c>
      <c r="P26" s="202">
        <f t="shared" si="10"/>
        <v>0</v>
      </c>
      <c r="Q26" s="189">
        <f>IFERROR(VLOOKUP(A26,[1]Energiindhold!$A$2:$C$11,3,FALSE),IFERROR(VLOOKUP(A26,[1]Biogasudbytte!$A$2:$B$18,2,FALSE)*[1]Energiindhold!$C$10,0))*O26</f>
        <v>0</v>
      </c>
      <c r="R26" s="189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9">
        <f>IFERROR(VLOOKUP(A26,[1]Biogasudbytte!$A$2:$B$18,2,FALSE)*[1]Energiindhold!$C$10,0)*J26*IFERROR(VLOOKUP(A26,Biogasanlæg!$F$3:$G$8,2,FALSE),1)</f>
        <v>0</v>
      </c>
      <c r="T26" s="190">
        <f t="shared" si="11"/>
        <v>0</v>
      </c>
      <c r="U26" s="188">
        <f>O26*IFERROR(VLOOKUP(A26,[1]Tørstofindhold!A$2:B$24,2,FALSE),0)</f>
        <v>0</v>
      </c>
      <c r="V26" s="189">
        <f>IF(D26=År1,P26,SUM(O26,P26))*IFERROR(VLOOKUP(A26,[1]Tørstofindhold!A$2:B$24,2,FALSE),0)</f>
        <v>0</v>
      </c>
      <c r="W26" s="189">
        <f>J26*IFERROR(VLOOKUP(A26,[1]Tørstofindhold!A$2:B$24,2,FALSE),0)</f>
        <v>0</v>
      </c>
      <c r="X26" s="190">
        <f t="shared" si="12"/>
        <v>0</v>
      </c>
      <c r="Y26" s="170">
        <f t="shared" ca="1" si="2"/>
        <v>1</v>
      </c>
      <c r="Z26" s="103">
        <f t="shared" ca="1" si="3"/>
        <v>0</v>
      </c>
    </row>
    <row r="27" spans="1:26" hidden="1" x14ac:dyDescent="0.25">
      <c r="A27" s="191" t="s">
        <v>137</v>
      </c>
      <c r="B27" s="191" t="s">
        <v>223</v>
      </c>
      <c r="C27" s="191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1">
        <f t="shared" si="8"/>
        <v>2019</v>
      </c>
      <c r="E27" s="189" t="s">
        <v>23</v>
      </c>
      <c r="F27" s="192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2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9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2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2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2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2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6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1">
        <f t="shared" si="9"/>
        <v>0</v>
      </c>
      <c r="O27" s="192">
        <f t="shared" si="1"/>
        <v>0</v>
      </c>
      <c r="P27" s="202">
        <f t="shared" si="10"/>
        <v>4066864.6068164087</v>
      </c>
      <c r="Q27" s="189">
        <f>IFERROR(VLOOKUP(A27,[1]Energiindhold!$A$2:$C$11,3,FALSE),IFERROR(VLOOKUP(A27,[1]Biogasudbytte!$A$2:$B$18,2,FALSE)*[1]Energiindhold!$C$10,0))*O27</f>
        <v>0</v>
      </c>
      <c r="R27" s="189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9">
        <f>IFERROR(VLOOKUP(A27,[1]Biogasudbytte!$A$2:$B$18,2,FALSE)*[1]Energiindhold!$C$10,0)*J27*IFERROR(VLOOKUP(A27,Biogasanlæg!$F$3:$G$8,2,FALSE),1)</f>
        <v>2.0586061953243981</v>
      </c>
      <c r="T27" s="190">
        <f t="shared" si="11"/>
        <v>0</v>
      </c>
      <c r="U27" s="188">
        <f>O27*IFERROR(VLOOKUP(A27,[1]Tørstofindhold!A$2:B$24,2,FALSE),0)</f>
        <v>0</v>
      </c>
      <c r="V27" s="189">
        <f>IF(D27=År1,P27,SUM(O27,P27))*IFERROR(VLOOKUP(A27,[1]Tørstofindhold!A$2:B$24,2,FALSE),0)</f>
        <v>309081.71011804708</v>
      </c>
      <c r="W27" s="189">
        <f>J27*IFERROR(VLOOKUP(A27,[1]Tørstofindhold!A$2:B$24,2,FALSE),0)</f>
        <v>309081.71011804708</v>
      </c>
      <c r="X27" s="190">
        <f t="shared" si="12"/>
        <v>0</v>
      </c>
      <c r="Y27" s="170">
        <f t="shared" si="2"/>
        <v>0</v>
      </c>
      <c r="Z27" s="103">
        <f t="shared" si="3"/>
        <v>0</v>
      </c>
    </row>
    <row r="28" spans="1:26" hidden="1" x14ac:dyDescent="0.25">
      <c r="A28" s="191" t="s">
        <v>109</v>
      </c>
      <c r="B28" s="191"/>
      <c r="C28" s="191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1">
        <f t="shared" si="8"/>
        <v>2019</v>
      </c>
      <c r="E28" s="189" t="s">
        <v>23</v>
      </c>
      <c r="F28" s="192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2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9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2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2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2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2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6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1">
        <f t="shared" si="9"/>
        <v>122443.54553678865</v>
      </c>
      <c r="O28" s="192">
        <f t="shared" si="1"/>
        <v>0</v>
      </c>
      <c r="P28" s="202">
        <f t="shared" si="10"/>
        <v>0</v>
      </c>
      <c r="Q28" s="189">
        <f>IFERROR(VLOOKUP(A28,[1]Energiindhold!$A$2:$C$11,3,FALSE),IFERROR(VLOOKUP(A28,[1]Biogasudbytte!$A$2:$B$18,2,FALSE)*[1]Energiindhold!$C$10,0))*O28</f>
        <v>0</v>
      </c>
      <c r="R28" s="189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9">
        <f>IFERROR(VLOOKUP(A28,[1]Biogasudbytte!$A$2:$B$18,2,FALSE)*[1]Energiindhold!$C$10,0)*J28*IFERROR(VLOOKUP(A28,Biogasanlæg!$F$3:$G$8,2,FALSE),1)</f>
        <v>0</v>
      </c>
      <c r="T28" s="190">
        <f t="shared" si="11"/>
        <v>0</v>
      </c>
      <c r="U28" s="188">
        <f>O28*IFERROR(VLOOKUP(A28,[1]Tørstofindhold!A$2:B$24,2,FALSE),0)</f>
        <v>0</v>
      </c>
      <c r="V28" s="189">
        <f>IF(D28=År1,P28,SUM(O28,P28))*IFERROR(VLOOKUP(A28,[1]Tørstofindhold!A$2:B$24,2,FALSE),0)</f>
        <v>0</v>
      </c>
      <c r="W28" s="189">
        <f>J28*IFERROR(VLOOKUP(A28,[1]Tørstofindhold!A$2:B$24,2,FALSE),0)</f>
        <v>0</v>
      </c>
      <c r="X28" s="190">
        <f t="shared" si="12"/>
        <v>0</v>
      </c>
      <c r="Y28" s="170">
        <f t="shared" si="2"/>
        <v>0</v>
      </c>
      <c r="Z28" s="103">
        <f t="shared" si="3"/>
        <v>1</v>
      </c>
    </row>
    <row r="29" spans="1:26" hidden="1" x14ac:dyDescent="0.25">
      <c r="A29" s="189" t="s">
        <v>53</v>
      </c>
      <c r="B29" s="191" t="s">
        <v>225</v>
      </c>
      <c r="C29" s="191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1">
        <f t="shared" si="8"/>
        <v>2019</v>
      </c>
      <c r="E29" s="189" t="s">
        <v>23</v>
      </c>
      <c r="F29" s="192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2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9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2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2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2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2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6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1">
        <f t="shared" si="9"/>
        <v>1609663.314373374</v>
      </c>
      <c r="O29" s="192">
        <f t="shared" si="1"/>
        <v>1266262.2462674922</v>
      </c>
      <c r="P29" s="202">
        <f t="shared" si="10"/>
        <v>314821.43493156106</v>
      </c>
      <c r="Q29" s="189">
        <f>IFERROR(VLOOKUP(A29,[1]Energiindhold!$A$2:$C$11,3,FALSE),IFERROR(VLOOKUP(A29,[1]Biogasudbytte!$A$2:$B$18,2,FALSE)*[1]Energiindhold!$C$10,0))*O29</f>
        <v>4.5458814641002974</v>
      </c>
      <c r="R29" s="189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9">
        <f>IFERROR(VLOOKUP(A29,[1]Biogasudbytte!$A$2:$B$18,2,FALSE)*[1]Energiindhold!$C$10,0)*J29*IFERROR(VLOOKUP(A29,Biogasanlæg!$F$3:$G$8,2,FALSE),1)</f>
        <v>1.1302089514043043</v>
      </c>
      <c r="T29" s="190">
        <f t="shared" si="11"/>
        <v>0</v>
      </c>
      <c r="U29" s="188">
        <f>O29*IFERROR(VLOOKUP(A29,[1]Tørstofindhold!A$2:B$24,2,FALSE),0)</f>
        <v>379878.67388024763</v>
      </c>
      <c r="V29" s="189">
        <f>IF(D29=År1,P29,SUM(O29,P29))*IFERROR(VLOOKUP(A29,[1]Tørstofindhold!A$2:B$24,2,FALSE),0)</f>
        <v>94446.430479468312</v>
      </c>
      <c r="W29" s="189">
        <f>J29*IFERROR(VLOOKUP(A29,[1]Tørstofindhold!A$2:B$24,2,FALSE),0)</f>
        <v>94446.430479468312</v>
      </c>
      <c r="X29" s="190">
        <f t="shared" si="12"/>
        <v>0</v>
      </c>
      <c r="Y29" s="170">
        <f t="shared" si="2"/>
        <v>0</v>
      </c>
      <c r="Z29" s="103">
        <f t="shared" si="3"/>
        <v>1</v>
      </c>
    </row>
    <row r="30" spans="1:26" hidden="1" x14ac:dyDescent="0.25">
      <c r="A30" s="191" t="s">
        <v>117</v>
      </c>
      <c r="B30" s="191"/>
      <c r="C30" s="191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1">
        <f t="shared" si="8"/>
        <v>2019</v>
      </c>
      <c r="E30" s="189" t="s">
        <v>23</v>
      </c>
      <c r="F30" s="192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2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9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2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2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2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2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6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1">
        <f t="shared" si="9"/>
        <v>2703717.1158706988</v>
      </c>
      <c r="O30" s="192">
        <f t="shared" si="1"/>
        <v>0</v>
      </c>
      <c r="P30" s="202">
        <f t="shared" si="10"/>
        <v>0</v>
      </c>
      <c r="Q30" s="189">
        <f>IFERROR(VLOOKUP(A30,[1]Energiindhold!$A$2:$C$11,3,FALSE),IFERROR(VLOOKUP(A30,[1]Biogasudbytte!$A$2:$B$18,2,FALSE)*[1]Energiindhold!$C$10,0))*O30</f>
        <v>0</v>
      </c>
      <c r="R30" s="189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9">
        <f>IFERROR(VLOOKUP(A30,[1]Biogasudbytte!$A$2:$B$18,2,FALSE)*[1]Energiindhold!$C$10,0)*J30*IFERROR(VLOOKUP(A30,Biogasanlæg!$F$3:$G$8,2,FALSE),1)</f>
        <v>0</v>
      </c>
      <c r="T30" s="190">
        <f t="shared" si="11"/>
        <v>0</v>
      </c>
      <c r="U30" s="188">
        <f>O30*IFERROR(VLOOKUP(A30,[1]Tørstofindhold!A$2:B$24,2,FALSE),0)</f>
        <v>0</v>
      </c>
      <c r="V30" s="189">
        <f>IF(D30=År1,P30,SUM(O30,P30))*IFERROR(VLOOKUP(A30,[1]Tørstofindhold!A$2:B$24,2,FALSE),0)</f>
        <v>0</v>
      </c>
      <c r="W30" s="189">
        <f>J30*IFERROR(VLOOKUP(A30,[1]Tørstofindhold!A$2:B$24,2,FALSE),0)</f>
        <v>0</v>
      </c>
      <c r="X30" s="190">
        <f t="shared" si="12"/>
        <v>0</v>
      </c>
      <c r="Y30" s="170">
        <f t="shared" si="2"/>
        <v>0</v>
      </c>
      <c r="Z30" s="103">
        <f t="shared" si="3"/>
        <v>1</v>
      </c>
    </row>
    <row r="31" spans="1:26" hidden="1" x14ac:dyDescent="0.25">
      <c r="A31" s="191" t="s">
        <v>107</v>
      </c>
      <c r="B31" s="191" t="s">
        <v>227</v>
      </c>
      <c r="C31" s="191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1">
        <f t="shared" si="8"/>
        <v>2019</v>
      </c>
      <c r="E31" s="189" t="s">
        <v>23</v>
      </c>
      <c r="F31" s="192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2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9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2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2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2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2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6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1">
        <f t="shared" si="9"/>
        <v>878.90231344976178</v>
      </c>
      <c r="O31" s="192">
        <f t="shared" si="1"/>
        <v>878.90231344976178</v>
      </c>
      <c r="P31" s="202">
        <f t="shared" si="10"/>
        <v>0</v>
      </c>
      <c r="Q31" s="189">
        <f>IFERROR(VLOOKUP(A31,[1]Energiindhold!$A$2:$C$11,3,FALSE),IFERROR(VLOOKUP(A31,[1]Biogasudbytte!$A$2:$B$18,2,FALSE)*[1]Energiindhold!$C$10,0))*O31</f>
        <v>7.8881482632116122E-4</v>
      </c>
      <c r="R31" s="189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9">
        <f>IFERROR(VLOOKUP(A31,[1]Biogasudbytte!$A$2:$B$18,2,FALSE)*[1]Energiindhold!$C$10,0)*J31*IFERROR(VLOOKUP(A31,Biogasanlæg!$F$3:$G$8,2,FALSE),1)</f>
        <v>0</v>
      </c>
      <c r="T31" s="190">
        <f t="shared" si="11"/>
        <v>0</v>
      </c>
      <c r="U31" s="188">
        <f>O31*IFERROR(VLOOKUP(A31,[1]Tørstofindhold!A$2:B$24,2,FALSE),0)</f>
        <v>131.83534701746427</v>
      </c>
      <c r="V31" s="189">
        <f>IF(D31=År1,P31,SUM(O31,P31))*IFERROR(VLOOKUP(A31,[1]Tørstofindhold!A$2:B$24,2,FALSE),0)</f>
        <v>0</v>
      </c>
      <c r="W31" s="189">
        <f>J31*IFERROR(VLOOKUP(A31,[1]Tørstofindhold!A$2:B$24,2,FALSE),0)</f>
        <v>0</v>
      </c>
      <c r="X31" s="190">
        <f t="shared" si="12"/>
        <v>0</v>
      </c>
      <c r="Y31" s="170">
        <f t="shared" si="2"/>
        <v>0</v>
      </c>
      <c r="Z31" s="103">
        <f t="shared" si="3"/>
        <v>1</v>
      </c>
    </row>
    <row r="32" spans="1:26" hidden="1" x14ac:dyDescent="0.25">
      <c r="A32" s="191" t="s">
        <v>14</v>
      </c>
      <c r="B32" s="191"/>
      <c r="C32" s="191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1">
        <f t="shared" si="8"/>
        <v>2019</v>
      </c>
      <c r="E32" s="189" t="s">
        <v>23</v>
      </c>
      <c r="F32" s="192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2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9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2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2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2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2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6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1">
        <f t="shared" si="9"/>
        <v>50014.542046090508</v>
      </c>
      <c r="O32" s="192">
        <f t="shared" si="1"/>
        <v>0</v>
      </c>
      <c r="P32" s="202">
        <f t="shared" si="10"/>
        <v>0</v>
      </c>
      <c r="Q32" s="189">
        <f>IFERROR(VLOOKUP(A32,[1]Energiindhold!$A$2:$C$11,3,FALSE),IFERROR(VLOOKUP(A32,[1]Biogasudbytte!$A$2:$B$18,2,FALSE)*[1]Energiindhold!$C$10,0))*O32</f>
        <v>0</v>
      </c>
      <c r="R32" s="189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9">
        <f>IFERROR(VLOOKUP(A32,[1]Biogasudbytte!$A$2:$B$18,2,FALSE)*[1]Energiindhold!$C$10,0)*J32*IFERROR(VLOOKUP(A32,Biogasanlæg!$F$3:$G$8,2,FALSE),1)</f>
        <v>0</v>
      </c>
      <c r="T32" s="190">
        <f t="shared" si="11"/>
        <v>0</v>
      </c>
      <c r="U32" s="188">
        <f>O32*IFERROR(VLOOKUP(A32,[1]Tørstofindhold!A$2:B$24,2,FALSE),0)</f>
        <v>0</v>
      </c>
      <c r="V32" s="189">
        <f>IF(D32=År1,P32,SUM(O32,P32))*IFERROR(VLOOKUP(A32,[1]Tørstofindhold!A$2:B$24,2,FALSE),0)</f>
        <v>0</v>
      </c>
      <c r="W32" s="189">
        <f>J32*IFERROR(VLOOKUP(A32,[1]Tørstofindhold!A$2:B$24,2,FALSE),0)</f>
        <v>0</v>
      </c>
      <c r="X32" s="190">
        <f t="shared" si="12"/>
        <v>0</v>
      </c>
      <c r="Y32" s="170">
        <f t="shared" si="2"/>
        <v>0</v>
      </c>
      <c r="Z32" s="103">
        <f t="shared" si="3"/>
        <v>1</v>
      </c>
    </row>
    <row r="33" spans="1:26" hidden="1" x14ac:dyDescent="0.25">
      <c r="A33" s="191" t="s">
        <v>55</v>
      </c>
      <c r="B33" s="191"/>
      <c r="C33" s="191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1">
        <f t="shared" si="8"/>
        <v>2019</v>
      </c>
      <c r="E33" s="189" t="s">
        <v>23</v>
      </c>
      <c r="F33" s="192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2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9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2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2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2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2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6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1">
        <f t="shared" si="9"/>
        <v>1609044.2994914718</v>
      </c>
      <c r="O33" s="192">
        <f t="shared" si="1"/>
        <v>0</v>
      </c>
      <c r="P33" s="202">
        <f t="shared" si="10"/>
        <v>0</v>
      </c>
      <c r="Q33" s="189">
        <f>IFERROR(VLOOKUP(A33,[1]Energiindhold!$A$2:$C$11,3,FALSE),IFERROR(VLOOKUP(A33,[1]Biogasudbytte!$A$2:$B$18,2,FALSE)*[1]Energiindhold!$C$10,0))*O33</f>
        <v>0</v>
      </c>
      <c r="R33" s="189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9">
        <f>IFERROR(VLOOKUP(A33,[1]Biogasudbytte!$A$2:$B$18,2,FALSE)*[1]Energiindhold!$C$10,0)*J33*IFERROR(VLOOKUP(A33,Biogasanlæg!$F$3:$G$8,2,FALSE),1)</f>
        <v>0</v>
      </c>
      <c r="T33" s="190">
        <f t="shared" si="11"/>
        <v>0</v>
      </c>
      <c r="U33" s="188">
        <f>O33*IFERROR(VLOOKUP(A33,[1]Tørstofindhold!A$2:B$24,2,FALSE),0)</f>
        <v>0</v>
      </c>
      <c r="V33" s="189">
        <f>IF(D33=År1,P33,SUM(O33,P33))*IFERROR(VLOOKUP(A33,[1]Tørstofindhold!A$2:B$24,2,FALSE),0)</f>
        <v>0</v>
      </c>
      <c r="W33" s="189">
        <f>J33*IFERROR(VLOOKUP(A33,[1]Tørstofindhold!A$2:B$24,2,FALSE),0)</f>
        <v>0</v>
      </c>
      <c r="X33" s="190">
        <f t="shared" si="12"/>
        <v>0</v>
      </c>
      <c r="Y33" s="170">
        <f t="shared" si="2"/>
        <v>0</v>
      </c>
      <c r="Z33" s="103">
        <f t="shared" si="3"/>
        <v>1</v>
      </c>
    </row>
    <row r="34" spans="1:26" hidden="1" x14ac:dyDescent="0.25">
      <c r="A34" s="191" t="s">
        <v>96</v>
      </c>
      <c r="B34" s="191" t="s">
        <v>226</v>
      </c>
      <c r="C34" s="191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1">
        <f t="shared" si="8"/>
        <v>2019</v>
      </c>
      <c r="E34" s="189" t="s">
        <v>23</v>
      </c>
      <c r="F34" s="192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2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9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2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2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2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2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6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1">
        <f t="shared" si="9"/>
        <v>0</v>
      </c>
      <c r="O34" s="192">
        <f t="shared" si="1"/>
        <v>0</v>
      </c>
      <c r="P34" s="202">
        <f t="shared" si="10"/>
        <v>172205.06744997756</v>
      </c>
      <c r="Q34" s="189">
        <f>IFERROR(VLOOKUP(A34,[1]Energiindhold!$A$2:$C$11,3,FALSE),IFERROR(VLOOKUP(A34,[1]Biogasudbytte!$A$2:$B$18,2,FALSE)*[1]Energiindhold!$C$10,0))*O34</f>
        <v>0</v>
      </c>
      <c r="R34" s="189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9">
        <f>IFERROR(VLOOKUP(A34,[1]Biogasudbytte!$A$2:$B$18,2,FALSE)*[1]Energiindhold!$C$10,0)*J34*IFERROR(VLOOKUP(A34,Biogasanlæg!$F$3:$G$8,2,FALSE),1)</f>
        <v>0</v>
      </c>
      <c r="T34" s="190">
        <f t="shared" si="11"/>
        <v>3.1685732410795864</v>
      </c>
      <c r="U34" s="188">
        <f>O34*IFERROR(VLOOKUP(A34,[1]Tørstofindhold!A$2:B$24,2,FALSE),0)</f>
        <v>0</v>
      </c>
      <c r="V34" s="189">
        <f>IF(D34=År1,P34,SUM(O34,P34))*IFERROR(VLOOKUP(A34,[1]Tørstofindhold!A$2:B$24,2,FALSE),0)</f>
        <v>71465.1029917407</v>
      </c>
      <c r="W34" s="189">
        <f>J34*IFERROR(VLOOKUP(A34,[1]Tørstofindhold!A$2:B$24,2,FALSE),0)</f>
        <v>0</v>
      </c>
      <c r="X34" s="190">
        <f t="shared" si="12"/>
        <v>71465.1029917407</v>
      </c>
      <c r="Y34" s="170">
        <f t="shared" si="2"/>
        <v>0</v>
      </c>
      <c r="Z34" s="103">
        <f t="shared" si="3"/>
        <v>0</v>
      </c>
    </row>
    <row r="35" spans="1:26" hidden="1" x14ac:dyDescent="0.25">
      <c r="A35" s="191" t="s">
        <v>316</v>
      </c>
      <c r="B35" s="191" t="s">
        <v>322</v>
      </c>
      <c r="C35" s="191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1">
        <f t="shared" si="8"/>
        <v>2019</v>
      </c>
      <c r="E35" s="189" t="s">
        <v>23</v>
      </c>
      <c r="F35" s="192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2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9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2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2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2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2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6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1">
        <f t="shared" ref="N35:N36" si="13">F35-SUM(G35:M35)</f>
        <v>0</v>
      </c>
      <c r="O35" s="192">
        <f t="shared" si="1"/>
        <v>0</v>
      </c>
      <c r="P35" s="202">
        <f t="shared" ref="P35:P36" si="14">SUM(J35,L35)</f>
        <v>0</v>
      </c>
      <c r="Q35" s="189">
        <f>IFERROR(VLOOKUP(A35,[1]Energiindhold!$A$2:$C$11,3,FALSE),IFERROR(VLOOKUP(A35,[1]Biogasudbytte!$A$2:$B$18,2,FALSE)*[1]Energiindhold!$C$10,0))*O35</f>
        <v>0</v>
      </c>
      <c r="R35" s="189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9">
        <f>IFERROR(VLOOKUP(A35,[1]Biogasudbytte!$A$2:$B$18,2,FALSE)*[1]Energiindhold!$C$10,0)*J35*IFERROR(VLOOKUP(A35,Biogasanlæg!$F$3:$G$8,2,FALSE),1)</f>
        <v>0</v>
      </c>
      <c r="T35" s="190">
        <f t="shared" ref="T35:T36" si="15">R35-S35</f>
        <v>0</v>
      </c>
      <c r="U35" s="188">
        <f>O35*IFERROR(VLOOKUP(A35,[1]Tørstofindhold!A$2:B$24,2,FALSE),0)</f>
        <v>0</v>
      </c>
      <c r="V35" s="189">
        <f>IF(D35=År1,P35,SUM(O35,P35))*IFERROR(VLOOKUP(A35,[1]Tørstofindhold!A$2:B$24,2,FALSE),0)</f>
        <v>0</v>
      </c>
      <c r="W35" s="189">
        <f>J35*IFERROR(VLOOKUP(A35,[1]Tørstofindhold!A$2:B$24,2,FALSE),0)</f>
        <v>0</v>
      </c>
      <c r="X35" s="190">
        <f t="shared" ref="X35:X36" si="16">V35-W35</f>
        <v>0</v>
      </c>
      <c r="Y35" s="170">
        <f t="shared" si="2"/>
        <v>0</v>
      </c>
      <c r="Z35" s="103">
        <f t="shared" si="3"/>
        <v>0</v>
      </c>
    </row>
    <row r="36" spans="1:26" hidden="1" x14ac:dyDescent="0.25">
      <c r="A36" s="191" t="s">
        <v>317</v>
      </c>
      <c r="B36" s="191" t="s">
        <v>322</v>
      </c>
      <c r="C36" s="191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1">
        <f t="shared" si="8"/>
        <v>2019</v>
      </c>
      <c r="E36" s="189" t="s">
        <v>23</v>
      </c>
      <c r="F36" s="192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2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9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2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2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2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2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6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1">
        <f t="shared" si="13"/>
        <v>0</v>
      </c>
      <c r="O36" s="192">
        <f t="shared" si="1"/>
        <v>0</v>
      </c>
      <c r="P36" s="202">
        <f t="shared" si="14"/>
        <v>0</v>
      </c>
      <c r="Q36" s="189">
        <f>IFERROR(VLOOKUP(A36,[1]Energiindhold!$A$2:$C$11,3,FALSE),IFERROR(VLOOKUP(A36,[1]Biogasudbytte!$A$2:$B$18,2,FALSE)*[1]Energiindhold!$C$10,0))*O36</f>
        <v>0</v>
      </c>
      <c r="R36" s="189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9">
        <f>IFERROR(VLOOKUP(A36,[1]Biogasudbytte!$A$2:$B$18,2,FALSE)*[1]Energiindhold!$C$10,0)*J36*IFERROR(VLOOKUP(A36,Biogasanlæg!$F$3:$G$8,2,FALSE),1)</f>
        <v>0</v>
      </c>
      <c r="T36" s="190">
        <f t="shared" si="15"/>
        <v>0</v>
      </c>
      <c r="U36" s="188">
        <f>O36*IFERROR(VLOOKUP(A36,[1]Tørstofindhold!A$2:B$24,2,FALSE),0)</f>
        <v>0</v>
      </c>
      <c r="V36" s="189">
        <f>IF(D36=År1,P36,SUM(O36,P36))*IFERROR(VLOOKUP(A36,[1]Tørstofindhold!A$2:B$24,2,FALSE),0)</f>
        <v>0</v>
      </c>
      <c r="W36" s="189">
        <f>J36*IFERROR(VLOOKUP(A36,[1]Tørstofindhold!A$2:B$24,2,FALSE),0)</f>
        <v>0</v>
      </c>
      <c r="X36" s="190">
        <f t="shared" si="16"/>
        <v>0</v>
      </c>
      <c r="Y36" s="170">
        <f t="shared" si="2"/>
        <v>0</v>
      </c>
      <c r="Z36" s="103">
        <f t="shared" si="3"/>
        <v>0</v>
      </c>
    </row>
    <row r="37" spans="1:26" hidden="1" x14ac:dyDescent="0.25">
      <c r="A37" s="191" t="s">
        <v>118</v>
      </c>
      <c r="B37" s="191"/>
      <c r="C37" s="191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1">
        <f t="shared" si="8"/>
        <v>2019</v>
      </c>
      <c r="E37" s="189" t="s">
        <v>23</v>
      </c>
      <c r="F37" s="192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2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9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2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2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2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2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6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1">
        <f t="shared" si="9"/>
        <v>4922001.9803787302</v>
      </c>
      <c r="O37" s="192">
        <f t="shared" si="1"/>
        <v>0</v>
      </c>
      <c r="P37" s="202">
        <f t="shared" si="10"/>
        <v>0</v>
      </c>
      <c r="Q37" s="189">
        <f>IFERROR(VLOOKUP(A37,[1]Energiindhold!$A$2:$C$11,3,FALSE),IFERROR(VLOOKUP(A37,[1]Biogasudbytte!$A$2:$B$18,2,FALSE)*[1]Energiindhold!$C$10,0))*O37</f>
        <v>0</v>
      </c>
      <c r="R37" s="189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9">
        <f>IFERROR(VLOOKUP(A37,[1]Biogasudbytte!$A$2:$B$18,2,FALSE)*[1]Energiindhold!$C$10,0)*J37*IFERROR(VLOOKUP(A37,Biogasanlæg!$F$3:$G$8,2,FALSE),1)</f>
        <v>0</v>
      </c>
      <c r="T37" s="190">
        <f t="shared" si="11"/>
        <v>0</v>
      </c>
      <c r="U37" s="188">
        <f>O37*IFERROR(VLOOKUP(A37,[1]Tørstofindhold!A$2:B$24,2,FALSE),0)</f>
        <v>0</v>
      </c>
      <c r="V37" s="189">
        <f>IF(D37=År1,P37,SUM(O37,P37))*IFERROR(VLOOKUP(A37,[1]Tørstofindhold!A$2:B$24,2,FALSE),0)</f>
        <v>0</v>
      </c>
      <c r="W37" s="189">
        <f>J37*IFERROR(VLOOKUP(A37,[1]Tørstofindhold!A$2:B$24,2,FALSE),0)</f>
        <v>0</v>
      </c>
      <c r="X37" s="190">
        <f t="shared" si="12"/>
        <v>0</v>
      </c>
      <c r="Y37" s="170">
        <f t="shared" si="2"/>
        <v>0</v>
      </c>
      <c r="Z37" s="103">
        <f t="shared" si="3"/>
        <v>1</v>
      </c>
    </row>
    <row r="38" spans="1:26" hidden="1" x14ac:dyDescent="0.25">
      <c r="A38" s="189" t="s">
        <v>50</v>
      </c>
      <c r="B38" s="191"/>
      <c r="C38" s="191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1">
        <f t="shared" si="8"/>
        <v>2019</v>
      </c>
      <c r="E38" s="189" t="s">
        <v>23</v>
      </c>
      <c r="F38" s="192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2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9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2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2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2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2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6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1">
        <f t="shared" si="9"/>
        <v>0</v>
      </c>
      <c r="O38" s="192">
        <f t="shared" si="1"/>
        <v>0</v>
      </c>
      <c r="P38" s="202">
        <f t="shared" si="10"/>
        <v>0</v>
      </c>
      <c r="Q38" s="189">
        <f>IFERROR(VLOOKUP(A38,[1]Energiindhold!$A$2:$C$11,3,FALSE),IFERROR(VLOOKUP(A38,[1]Biogasudbytte!$A$2:$B$18,2,FALSE)*[1]Energiindhold!$C$10,0))*O38</f>
        <v>0</v>
      </c>
      <c r="R38" s="189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9">
        <f>IFERROR(VLOOKUP(A38,[1]Biogasudbytte!$A$2:$B$18,2,FALSE)*[1]Energiindhold!$C$10,0)*J38*IFERROR(VLOOKUP(A38,Biogasanlæg!$F$3:$G$8,2,FALSE),1)</f>
        <v>0</v>
      </c>
      <c r="T38" s="190">
        <f t="shared" si="11"/>
        <v>0</v>
      </c>
      <c r="U38" s="188">
        <f>O38*IFERROR(VLOOKUP(A38,[1]Tørstofindhold!A$2:B$24,2,FALSE),0)</f>
        <v>0</v>
      </c>
      <c r="V38" s="189">
        <f>IF(D38=År1,P38,SUM(O38,P38))*IFERROR(VLOOKUP(A38,[1]Tørstofindhold!A$2:B$24,2,FALSE),0)</f>
        <v>0</v>
      </c>
      <c r="W38" s="189">
        <f>J38*IFERROR(VLOOKUP(A38,[1]Tørstofindhold!A$2:B$24,2,FALSE),0)</f>
        <v>0</v>
      </c>
      <c r="X38" s="190">
        <f t="shared" si="12"/>
        <v>0</v>
      </c>
      <c r="Y38" s="170">
        <f t="shared" si="2"/>
        <v>0</v>
      </c>
      <c r="Z38" s="103">
        <f t="shared" si="3"/>
        <v>0</v>
      </c>
    </row>
    <row r="39" spans="1:26" hidden="1" x14ac:dyDescent="0.25">
      <c r="A39" s="189" t="s">
        <v>239</v>
      </c>
      <c r="B39" s="191"/>
      <c r="C39" s="191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1">
        <f t="shared" si="8"/>
        <v>2019</v>
      </c>
      <c r="E39" s="189" t="s">
        <v>23</v>
      </c>
      <c r="F39" s="192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2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9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2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2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2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2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6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1">
        <f t="shared" si="9"/>
        <v>28317.736356098671</v>
      </c>
      <c r="O39" s="192">
        <f t="shared" si="1"/>
        <v>0</v>
      </c>
      <c r="P39" s="202">
        <f t="shared" si="10"/>
        <v>0</v>
      </c>
      <c r="Q39" s="189">
        <f>IFERROR(VLOOKUP(A39,[1]Energiindhold!$A$2:$C$11,3,FALSE),IFERROR(VLOOKUP(A39,[1]Biogasudbytte!$A$2:$B$18,2,FALSE)*[1]Energiindhold!$C$10,0))*O39</f>
        <v>0</v>
      </c>
      <c r="R39" s="189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9">
        <f>IFERROR(VLOOKUP(A39,[1]Biogasudbytte!$A$2:$B$18,2,FALSE)*[1]Energiindhold!$C$10,0)*J39*IFERROR(VLOOKUP(A39,Biogasanlæg!$F$3:$G$8,2,FALSE),1)</f>
        <v>0</v>
      </c>
      <c r="T39" s="190">
        <f t="shared" si="11"/>
        <v>0</v>
      </c>
      <c r="U39" s="188">
        <f>O39*IFERROR(VLOOKUP(A39,[1]Tørstofindhold!A$2:B$24,2,FALSE),0)</f>
        <v>0</v>
      </c>
      <c r="V39" s="189">
        <f>IF(D39=År1,P39,SUM(O39,P39))*IFERROR(VLOOKUP(A39,[1]Tørstofindhold!A$2:B$24,2,FALSE),0)</f>
        <v>0</v>
      </c>
      <c r="W39" s="189">
        <f>J39*IFERROR(VLOOKUP(A39,[1]Tørstofindhold!A$2:B$24,2,FALSE),0)</f>
        <v>0</v>
      </c>
      <c r="X39" s="190">
        <f t="shared" si="12"/>
        <v>0</v>
      </c>
      <c r="Y39" s="170">
        <f t="shared" si="2"/>
        <v>0</v>
      </c>
      <c r="Z39" s="103">
        <f t="shared" si="3"/>
        <v>1</v>
      </c>
    </row>
    <row r="40" spans="1:26" hidden="1" x14ac:dyDescent="0.25">
      <c r="A40" s="189" t="s">
        <v>232</v>
      </c>
      <c r="B40" s="191" t="s">
        <v>232</v>
      </c>
      <c r="C40" s="191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1">
        <f t="shared" si="8"/>
        <v>2019</v>
      </c>
      <c r="E40" s="189" t="s">
        <v>23</v>
      </c>
      <c r="F40" s="192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2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9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2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2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2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2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6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1">
        <f t="shared" si="9"/>
        <v>0</v>
      </c>
      <c r="O40" s="192">
        <f t="shared" si="1"/>
        <v>0</v>
      </c>
      <c r="P40" s="202">
        <f t="shared" si="10"/>
        <v>80676.325166481722</v>
      </c>
      <c r="Q40" s="189">
        <f>IFERROR(VLOOKUP(A40,[1]Energiindhold!$A$2:$C$11,3,FALSE),IFERROR(VLOOKUP(A40,[1]Biogasudbytte!$A$2:$B$18,2,FALSE)*[1]Energiindhold!$C$10,0))*O40</f>
        <v>0</v>
      </c>
      <c r="R40" s="189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9">
        <f>IFERROR(VLOOKUP(A40,[1]Biogasudbytte!$A$2:$B$18,2,FALSE)*[1]Energiindhold!$C$10,0)*J40*IFERROR(VLOOKUP(A40,Biogasanlæg!$F$3:$G$8,2,FALSE),1)</f>
        <v>0</v>
      </c>
      <c r="T40" s="190">
        <f t="shared" si="11"/>
        <v>2.8236713808268599</v>
      </c>
      <c r="U40" s="188">
        <f>O40*IFERROR(VLOOKUP(A40,[1]Tørstofindhold!A$2:B$24,2,FALSE),0)</f>
        <v>0</v>
      </c>
      <c r="V40" s="189">
        <f>IF(D40=År1,P40,SUM(O40,P40))*IFERROR(VLOOKUP(A40,[1]Tørstofindhold!A$2:B$24,2,FALSE),0)</f>
        <v>0</v>
      </c>
      <c r="W40" s="189">
        <f>J40*IFERROR(VLOOKUP(A40,[1]Tørstofindhold!A$2:B$24,2,FALSE),0)</f>
        <v>0</v>
      </c>
      <c r="X40" s="190">
        <f t="shared" si="12"/>
        <v>0</v>
      </c>
      <c r="Y40" s="170">
        <f t="shared" si="2"/>
        <v>0</v>
      </c>
      <c r="Z40" s="103">
        <f t="shared" si="3"/>
        <v>0</v>
      </c>
    </row>
    <row r="41" spans="1:26" hidden="1" x14ac:dyDescent="0.25">
      <c r="A41" s="189" t="s">
        <v>52</v>
      </c>
      <c r="B41" s="191" t="s">
        <v>225</v>
      </c>
      <c r="C41" s="191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1">
        <f t="shared" si="8"/>
        <v>2019</v>
      </c>
      <c r="E41" s="189" t="s">
        <v>23</v>
      </c>
      <c r="F41" s="192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2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9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2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2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2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2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6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1">
        <f t="shared" si="9"/>
        <v>-468819.27146385383</v>
      </c>
      <c r="O41" s="192">
        <f t="shared" si="1"/>
        <v>0</v>
      </c>
      <c r="P41" s="202">
        <f t="shared" si="10"/>
        <v>4101.0489241972273</v>
      </c>
      <c r="Q41" s="189">
        <f>IFERROR(VLOOKUP(A41,[1]Energiindhold!$A$2:$C$11,3,FALSE),IFERROR(VLOOKUP(A41,[1]Biogasudbytte!$A$2:$B$18,2,FALSE)*[1]Energiindhold!$C$10,0))*O41</f>
        <v>0</v>
      </c>
      <c r="R41" s="189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9">
        <f>IFERROR(VLOOKUP(A41,[1]Biogasudbytte!$A$2:$B$18,2,FALSE)*[1]Energiindhold!$C$10,0)*J41*IFERROR(VLOOKUP(A41,Biogasanlæg!$F$3:$G$8,2,FALSE),1)</f>
        <v>1.1130410822228242E-2</v>
      </c>
      <c r="T41" s="190">
        <f t="shared" si="11"/>
        <v>0</v>
      </c>
      <c r="U41" s="188">
        <f>O41*IFERROR(VLOOKUP(A41,[1]Tørstofindhold!A$2:B$24,2,FALSE),0)</f>
        <v>0</v>
      </c>
      <c r="V41" s="189">
        <f>IF(D41=År1,P41,SUM(O41,P41))*IFERROR(VLOOKUP(A41,[1]Tørstofindhold!A$2:B$24,2,FALSE),0)</f>
        <v>820.20978483944555</v>
      </c>
      <c r="W41" s="189">
        <f>J41*IFERROR(VLOOKUP(A41,[1]Tørstofindhold!A$2:B$24,2,FALSE),0)</f>
        <v>820.20978483944555</v>
      </c>
      <c r="X41" s="190">
        <f t="shared" si="12"/>
        <v>0</v>
      </c>
      <c r="Y41" s="170">
        <f t="shared" si="2"/>
        <v>0</v>
      </c>
      <c r="Z41" s="103">
        <f t="shared" si="3"/>
        <v>1</v>
      </c>
    </row>
    <row r="42" spans="1:26" hidden="1" x14ac:dyDescent="0.25">
      <c r="A42" s="189" t="s">
        <v>122</v>
      </c>
      <c r="B42" s="191"/>
      <c r="C42" s="191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1">
        <f t="shared" si="8"/>
        <v>2019</v>
      </c>
      <c r="E42" s="189" t="s">
        <v>23</v>
      </c>
      <c r="F42" s="192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2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9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2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2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2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2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6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1">
        <f t="shared" si="9"/>
        <v>193830.89221723122</v>
      </c>
      <c r="O42" s="192">
        <f t="shared" si="1"/>
        <v>0</v>
      </c>
      <c r="P42" s="202">
        <f t="shared" si="10"/>
        <v>0</v>
      </c>
      <c r="Q42" s="189">
        <f>IFERROR(VLOOKUP(A42,[1]Energiindhold!$A$2:$C$11,3,FALSE),IFERROR(VLOOKUP(A42,[1]Biogasudbytte!$A$2:$B$18,2,FALSE)*[1]Energiindhold!$C$10,0))*O42</f>
        <v>0</v>
      </c>
      <c r="R42" s="189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9">
        <f>IFERROR(VLOOKUP(A42,[1]Biogasudbytte!$A$2:$B$18,2,FALSE)*[1]Energiindhold!$C$10,0)*J42*IFERROR(VLOOKUP(A42,Biogasanlæg!$F$3:$G$8,2,FALSE),1)</f>
        <v>0</v>
      </c>
      <c r="T42" s="190">
        <f t="shared" si="11"/>
        <v>0</v>
      </c>
      <c r="U42" s="188">
        <f>O42*IFERROR(VLOOKUP(A42,[1]Tørstofindhold!A$2:B$24,2,FALSE),0)</f>
        <v>0</v>
      </c>
      <c r="V42" s="189">
        <f>IF(D42=År1,P42,SUM(O42,P42))*IFERROR(VLOOKUP(A42,[1]Tørstofindhold!A$2:B$24,2,FALSE),0)</f>
        <v>0</v>
      </c>
      <c r="W42" s="189">
        <f>J42*IFERROR(VLOOKUP(A42,[1]Tørstofindhold!A$2:B$24,2,FALSE),0)</f>
        <v>0</v>
      </c>
      <c r="X42" s="190">
        <f t="shared" si="12"/>
        <v>0</v>
      </c>
      <c r="Y42" s="170">
        <f t="shared" si="2"/>
        <v>0</v>
      </c>
      <c r="Z42" s="103">
        <f t="shared" si="3"/>
        <v>1</v>
      </c>
    </row>
    <row r="43" spans="1:26" hidden="1" x14ac:dyDescent="0.25">
      <c r="A43" s="189" t="s">
        <v>108</v>
      </c>
      <c r="B43" s="191"/>
      <c r="C43" s="191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1">
        <f t="shared" si="8"/>
        <v>2019</v>
      </c>
      <c r="E43" s="189" t="s">
        <v>23</v>
      </c>
      <c r="F43" s="192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2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9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2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2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2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2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6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1">
        <f t="shared" si="9"/>
        <v>91860.340866184866</v>
      </c>
      <c r="O43" s="192">
        <f t="shared" si="1"/>
        <v>0</v>
      </c>
      <c r="P43" s="202">
        <f t="shared" si="10"/>
        <v>0</v>
      </c>
      <c r="Q43" s="189">
        <f>IFERROR(VLOOKUP(A43,[1]Energiindhold!$A$2:$C$11,3,FALSE),IFERROR(VLOOKUP(A43,[1]Biogasudbytte!$A$2:$B$18,2,FALSE)*[1]Energiindhold!$C$10,0))*O43</f>
        <v>0</v>
      </c>
      <c r="R43" s="189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9">
        <f>IFERROR(VLOOKUP(A43,[1]Biogasudbytte!$A$2:$B$18,2,FALSE)*[1]Energiindhold!$C$10,0)*J43*IFERROR(VLOOKUP(A43,Biogasanlæg!$F$3:$G$8,2,FALSE),1)</f>
        <v>0</v>
      </c>
      <c r="T43" s="190">
        <f t="shared" si="11"/>
        <v>0</v>
      </c>
      <c r="U43" s="188">
        <f>O43*IFERROR(VLOOKUP(A43,[1]Tørstofindhold!A$2:B$24,2,FALSE),0)</f>
        <v>0</v>
      </c>
      <c r="V43" s="189">
        <f>IF(D43=År1,P43,SUM(O43,P43))*IFERROR(VLOOKUP(A43,[1]Tørstofindhold!A$2:B$24,2,FALSE),0)</f>
        <v>0</v>
      </c>
      <c r="W43" s="189">
        <f>J43*IFERROR(VLOOKUP(A43,[1]Tørstofindhold!A$2:B$24,2,FALSE),0)</f>
        <v>0</v>
      </c>
      <c r="X43" s="190">
        <f t="shared" si="12"/>
        <v>0</v>
      </c>
      <c r="Y43" s="170">
        <f t="shared" si="2"/>
        <v>0</v>
      </c>
      <c r="Z43" s="103">
        <f t="shared" si="3"/>
        <v>1</v>
      </c>
    </row>
    <row r="44" spans="1:26" hidden="1" x14ac:dyDescent="0.25">
      <c r="A44" s="191" t="s">
        <v>141</v>
      </c>
      <c r="B44" s="191" t="s">
        <v>231</v>
      </c>
      <c r="C44" s="191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1">
        <f t="shared" si="8"/>
        <v>2019</v>
      </c>
      <c r="E44" s="189" t="s">
        <v>23</v>
      </c>
      <c r="F44" s="192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2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9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2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2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2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2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6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1">
        <f t="shared" si="9"/>
        <v>2390013.9527756004</v>
      </c>
      <c r="O44" s="192">
        <f t="shared" si="1"/>
        <v>2390013.9527756004</v>
      </c>
      <c r="P44" s="202">
        <f t="shared" si="10"/>
        <v>1460182.5874658169</v>
      </c>
      <c r="Q44" s="189">
        <f>IFERROR(VLOOKUP(A44,[1]Energiindhold!$A$2:$C$11,3,FALSE),IFERROR(VLOOKUP(A44,[1]Biogasudbytte!$A$2:$B$18,2,FALSE)*[1]Energiindhold!$C$10,0))*O44</f>
        <v>1.1926408625745526</v>
      </c>
      <c r="R44" s="189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9">
        <f>IFERROR(VLOOKUP(A44,[1]Biogasudbytte!$A$2:$B$18,2,FALSE)*[1]Energiindhold!$C$10,0)*J44*IFERROR(VLOOKUP(A44,Biogasanlæg!$F$3:$G$8,2,FALSE),1)</f>
        <v>0.72864571297131742</v>
      </c>
      <c r="T44" s="190">
        <f t="shared" si="11"/>
        <v>0</v>
      </c>
      <c r="U44" s="188">
        <f>O44*IFERROR(VLOOKUP(A44,[1]Tørstofindhold!A$2:B$24,2,FALSE),0)</f>
        <v>143400.83716653602</v>
      </c>
      <c r="V44" s="189">
        <f>IF(D44=År1,P44,SUM(O44,P44))*IFERROR(VLOOKUP(A44,[1]Tørstofindhold!A$2:B$24,2,FALSE),0)</f>
        <v>87610.955247949008</v>
      </c>
      <c r="W44" s="189">
        <f>J44*IFERROR(VLOOKUP(A44,[1]Tørstofindhold!A$2:B$24,2,FALSE),0)</f>
        <v>87610.955247949008</v>
      </c>
      <c r="X44" s="190">
        <f t="shared" si="12"/>
        <v>0</v>
      </c>
      <c r="Y44" s="170">
        <f t="shared" si="2"/>
        <v>0</v>
      </c>
      <c r="Z44" s="103">
        <f t="shared" si="3"/>
        <v>1</v>
      </c>
    </row>
    <row r="45" spans="1:26" hidden="1" x14ac:dyDescent="0.25">
      <c r="A45" s="191" t="s">
        <v>136</v>
      </c>
      <c r="B45" s="191" t="s">
        <v>223</v>
      </c>
      <c r="C45" s="191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1">
        <f t="shared" si="8"/>
        <v>2019</v>
      </c>
      <c r="E45" s="189" t="s">
        <v>23</v>
      </c>
      <c r="F45" s="192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2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9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2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2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2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2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6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1">
        <f t="shared" si="9"/>
        <v>0</v>
      </c>
      <c r="O45" s="192">
        <f t="shared" si="1"/>
        <v>0</v>
      </c>
      <c r="P45" s="202">
        <f t="shared" si="10"/>
        <v>2534442.072977222</v>
      </c>
      <c r="Q45" s="189">
        <f>IFERROR(VLOOKUP(A45,[1]Energiindhold!$A$2:$C$11,3,FALSE),IFERROR(VLOOKUP(A45,[1]Biogasudbytte!$A$2:$B$18,2,FALSE)*[1]Energiindhold!$C$10,0))*O45</f>
        <v>0</v>
      </c>
      <c r="R45" s="189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9">
        <f>IFERROR(VLOOKUP(A45,[1]Biogasudbytte!$A$2:$B$18,2,FALSE)*[1]Energiindhold!$C$10,0)*J45*IFERROR(VLOOKUP(A45,Biogasanlæg!$F$3:$G$8,2,FALSE),1)</f>
        <v>1.0918376450385874</v>
      </c>
      <c r="T45" s="190">
        <f t="shared" si="11"/>
        <v>0</v>
      </c>
      <c r="U45" s="188">
        <f>O45*IFERROR(VLOOKUP(A45,[1]Tørstofindhold!A$2:B$24,2,FALSE),0)</f>
        <v>0</v>
      </c>
      <c r="V45" s="189">
        <f>IF(D45=År1,P45,SUM(O45,P45))*IFERROR(VLOOKUP(A45,[1]Tørstofindhold!A$2:B$24,2,FALSE),0)</f>
        <v>126722.10364886111</v>
      </c>
      <c r="W45" s="189">
        <f>J45*IFERROR(VLOOKUP(A45,[1]Tørstofindhold!A$2:B$24,2,FALSE),0)</f>
        <v>126722.10364886111</v>
      </c>
      <c r="X45" s="190">
        <f t="shared" si="12"/>
        <v>0</v>
      </c>
      <c r="Y45" s="170">
        <f t="shared" si="2"/>
        <v>0</v>
      </c>
      <c r="Z45" s="103">
        <f t="shared" si="3"/>
        <v>0</v>
      </c>
    </row>
    <row r="46" spans="1:26" hidden="1" x14ac:dyDescent="0.25">
      <c r="A46" s="191" t="s">
        <v>13</v>
      </c>
      <c r="B46" s="191"/>
      <c r="C46" s="191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1">
        <f t="shared" si="8"/>
        <v>2019</v>
      </c>
      <c r="E46" s="189" t="s">
        <v>23</v>
      </c>
      <c r="F46" s="192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2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9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2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2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2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2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6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1">
        <f t="shared" si="9"/>
        <v>1276456.3476501952</v>
      </c>
      <c r="O46" s="192">
        <f t="shared" si="1"/>
        <v>0</v>
      </c>
      <c r="P46" s="202">
        <f t="shared" si="10"/>
        <v>0</v>
      </c>
      <c r="Q46" s="189">
        <f>IFERROR(VLOOKUP(A46,[1]Energiindhold!$A$2:$C$11,3,FALSE),IFERROR(VLOOKUP(A46,[1]Biogasudbytte!$A$2:$B$18,2,FALSE)*[1]Energiindhold!$C$10,0))*O46</f>
        <v>0</v>
      </c>
      <c r="R46" s="189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9">
        <f>IFERROR(VLOOKUP(A46,[1]Biogasudbytte!$A$2:$B$18,2,FALSE)*[1]Energiindhold!$C$10,0)*J46*IFERROR(VLOOKUP(A46,Biogasanlæg!$F$3:$G$8,2,FALSE),1)</f>
        <v>0</v>
      </c>
      <c r="T46" s="190">
        <f t="shared" si="11"/>
        <v>0</v>
      </c>
      <c r="U46" s="188">
        <f>O46*IFERROR(VLOOKUP(A46,[1]Tørstofindhold!A$2:B$24,2,FALSE),0)</f>
        <v>0</v>
      </c>
      <c r="V46" s="189">
        <f>IF(D46=År1,P46,SUM(O46,P46))*IFERROR(VLOOKUP(A46,[1]Tørstofindhold!A$2:B$24,2,FALSE),0)</f>
        <v>0</v>
      </c>
      <c r="W46" s="189">
        <f>J46*IFERROR(VLOOKUP(A46,[1]Tørstofindhold!A$2:B$24,2,FALSE),0)</f>
        <v>0</v>
      </c>
      <c r="X46" s="190">
        <f t="shared" si="12"/>
        <v>0</v>
      </c>
      <c r="Y46" s="170">
        <f t="shared" si="2"/>
        <v>0</v>
      </c>
      <c r="Z46" s="103">
        <f t="shared" si="3"/>
        <v>1</v>
      </c>
    </row>
    <row r="47" spans="1:26" hidden="1" x14ac:dyDescent="0.25">
      <c r="A47" s="191" t="s">
        <v>100</v>
      </c>
      <c r="B47" s="191" t="s">
        <v>227</v>
      </c>
      <c r="C47" s="191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1">
        <f t="shared" si="8"/>
        <v>2019</v>
      </c>
      <c r="E47" s="189" t="s">
        <v>23</v>
      </c>
      <c r="F47" s="192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2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9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2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2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2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2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6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1">
        <f t="shared" si="9"/>
        <v>76.5</v>
      </c>
      <c r="O47" s="192">
        <f t="shared" si="1"/>
        <v>76.5</v>
      </c>
      <c r="P47" s="202">
        <f t="shared" si="10"/>
        <v>0</v>
      </c>
      <c r="Q47" s="189">
        <f>IFERROR(VLOOKUP(A47,[1]Energiindhold!$A$2:$C$11,3,FALSE),IFERROR(VLOOKUP(A47,[1]Biogasudbytte!$A$2:$B$18,2,FALSE)*[1]Energiindhold!$C$10,0))*O47</f>
        <v>6.8658750000000004E-5</v>
      </c>
      <c r="R47" s="189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9">
        <f>IFERROR(VLOOKUP(A47,[1]Biogasudbytte!$A$2:$B$18,2,FALSE)*[1]Energiindhold!$C$10,0)*J47*IFERROR(VLOOKUP(A47,Biogasanlæg!$F$3:$G$8,2,FALSE),1)</f>
        <v>0</v>
      </c>
      <c r="T47" s="190">
        <f t="shared" si="11"/>
        <v>0</v>
      </c>
      <c r="U47" s="188">
        <f>O47*IFERROR(VLOOKUP(A47,[1]Tørstofindhold!A$2:B$24,2,FALSE),0)</f>
        <v>11.475</v>
      </c>
      <c r="V47" s="189">
        <f>IF(D47=År1,P47,SUM(O47,P47))*IFERROR(VLOOKUP(A47,[1]Tørstofindhold!A$2:B$24,2,FALSE),0)</f>
        <v>0</v>
      </c>
      <c r="W47" s="189">
        <f>J47*IFERROR(VLOOKUP(A47,[1]Tørstofindhold!A$2:B$24,2,FALSE),0)</f>
        <v>0</v>
      </c>
      <c r="X47" s="190">
        <f t="shared" si="12"/>
        <v>0</v>
      </c>
      <c r="Y47" s="170">
        <f t="shared" si="2"/>
        <v>0</v>
      </c>
      <c r="Z47" s="103">
        <f t="shared" si="3"/>
        <v>1</v>
      </c>
    </row>
    <row r="48" spans="1:26" hidden="1" x14ac:dyDescent="0.25">
      <c r="A48" s="191" t="s">
        <v>105</v>
      </c>
      <c r="B48" s="191"/>
      <c r="C48" s="191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1">
        <f t="shared" si="8"/>
        <v>2019</v>
      </c>
      <c r="E48" s="189" t="s">
        <v>23</v>
      </c>
      <c r="F48" s="192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2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9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2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2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2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2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6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1">
        <f t="shared" si="9"/>
        <v>0</v>
      </c>
      <c r="O48" s="192">
        <f t="shared" si="1"/>
        <v>0</v>
      </c>
      <c r="P48" s="202">
        <f t="shared" si="10"/>
        <v>0</v>
      </c>
      <c r="Q48" s="189">
        <f>IFERROR(VLOOKUP(A48,[1]Energiindhold!$A$2:$C$11,3,FALSE),IFERROR(VLOOKUP(A48,[1]Biogasudbytte!$A$2:$B$18,2,FALSE)*[1]Energiindhold!$C$10,0))*O48</f>
        <v>0</v>
      </c>
      <c r="R48" s="189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9">
        <f>IFERROR(VLOOKUP(A48,[1]Biogasudbytte!$A$2:$B$18,2,FALSE)*[1]Energiindhold!$C$10,0)*J48*IFERROR(VLOOKUP(A48,Biogasanlæg!$F$3:$G$8,2,FALSE),1)</f>
        <v>0</v>
      </c>
      <c r="T48" s="190">
        <f t="shared" si="11"/>
        <v>0</v>
      </c>
      <c r="U48" s="188">
        <f>O48*IFERROR(VLOOKUP(A48,[1]Tørstofindhold!A$2:B$24,2,FALSE),0)</f>
        <v>0</v>
      </c>
      <c r="V48" s="189">
        <f>IF(D48=År1,P48,SUM(O48,P48))*IFERROR(VLOOKUP(A48,[1]Tørstofindhold!A$2:B$24,2,FALSE),0)</f>
        <v>0</v>
      </c>
      <c r="W48" s="189">
        <f>J48*IFERROR(VLOOKUP(A48,[1]Tørstofindhold!A$2:B$24,2,FALSE),0)</f>
        <v>0</v>
      </c>
      <c r="X48" s="190">
        <f t="shared" si="12"/>
        <v>0</v>
      </c>
      <c r="Y48" s="170">
        <f t="shared" si="2"/>
        <v>0</v>
      </c>
      <c r="Z48" s="103">
        <f t="shared" si="3"/>
        <v>0</v>
      </c>
    </row>
    <row r="49" spans="1:26" hidden="1" x14ac:dyDescent="0.25">
      <c r="A49" s="191" t="s">
        <v>120</v>
      </c>
      <c r="B49" s="191" t="s">
        <v>226</v>
      </c>
      <c r="C49" s="191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1">
        <f t="shared" si="8"/>
        <v>2019</v>
      </c>
      <c r="E49" s="189" t="s">
        <v>23</v>
      </c>
      <c r="F49" s="192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2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9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2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2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2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2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6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1">
        <f t="shared" si="9"/>
        <v>0</v>
      </c>
      <c r="O49" s="192">
        <f t="shared" si="1"/>
        <v>0</v>
      </c>
      <c r="P49" s="202">
        <f t="shared" si="10"/>
        <v>2328635.6388303456</v>
      </c>
      <c r="Q49" s="189">
        <f>IFERROR(VLOOKUP(A49,[1]Energiindhold!$A$2:$C$11,3,FALSE),IFERROR(VLOOKUP(A49,[1]Biogasudbytte!$A$2:$B$18,2,FALSE)*[1]Energiindhold!$C$10,0))*O49</f>
        <v>0</v>
      </c>
      <c r="R49" s="189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9">
        <f>IFERROR(VLOOKUP(A49,[1]Biogasudbytte!$A$2:$B$18,2,FALSE)*[1]Energiindhold!$C$10,0)*J49*IFERROR(VLOOKUP(A49,Biogasanlæg!$F$3:$G$8,2,FALSE),1)</f>
        <v>0</v>
      </c>
      <c r="T49" s="190">
        <f t="shared" si="11"/>
        <v>33.750241076188566</v>
      </c>
      <c r="U49" s="188">
        <f>O49*IFERROR(VLOOKUP(A49,[1]Tørstofindhold!A$2:B$24,2,FALSE),0)</f>
        <v>0</v>
      </c>
      <c r="V49" s="189">
        <f>IF(D49=År1,P49,SUM(O49,P49))*IFERROR(VLOOKUP(A49,[1]Tørstofindhold!A$2:B$24,2,FALSE),0)</f>
        <v>1151704.3763715085</v>
      </c>
      <c r="W49" s="189">
        <f>J49*IFERROR(VLOOKUP(A49,[1]Tørstofindhold!A$2:B$24,2,FALSE),0)</f>
        <v>0</v>
      </c>
      <c r="X49" s="190">
        <f t="shared" si="12"/>
        <v>1151704.3763715085</v>
      </c>
      <c r="Y49" s="170">
        <f t="shared" si="2"/>
        <v>0</v>
      </c>
      <c r="Z49" s="103">
        <f t="shared" si="3"/>
        <v>0</v>
      </c>
    </row>
    <row r="50" spans="1:26" hidden="1" x14ac:dyDescent="0.25">
      <c r="A50" s="191" t="s">
        <v>119</v>
      </c>
      <c r="B50" s="191"/>
      <c r="C50" s="191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1">
        <f t="shared" si="8"/>
        <v>2019</v>
      </c>
      <c r="E50" s="189" t="s">
        <v>23</v>
      </c>
      <c r="F50" s="192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2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9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2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2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2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2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6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1">
        <f t="shared" si="9"/>
        <v>0</v>
      </c>
      <c r="O50" s="192">
        <f t="shared" si="1"/>
        <v>0</v>
      </c>
      <c r="P50" s="202">
        <f t="shared" si="10"/>
        <v>0</v>
      </c>
      <c r="Q50" s="189">
        <f>IFERROR(VLOOKUP(A50,[1]Energiindhold!$A$2:$C$11,3,FALSE),IFERROR(VLOOKUP(A50,[1]Biogasudbytte!$A$2:$B$18,2,FALSE)*[1]Energiindhold!$C$10,0))*O50</f>
        <v>0</v>
      </c>
      <c r="R50" s="189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9">
        <f>IFERROR(VLOOKUP(A50,[1]Biogasudbytte!$A$2:$B$18,2,FALSE)*[1]Energiindhold!$C$10,0)*J50*IFERROR(VLOOKUP(A50,Biogasanlæg!$F$3:$G$8,2,FALSE),1)</f>
        <v>0</v>
      </c>
      <c r="T50" s="190">
        <f t="shared" si="11"/>
        <v>0</v>
      </c>
      <c r="U50" s="188">
        <f>O50*IFERROR(VLOOKUP(A50,[1]Tørstofindhold!A$2:B$24,2,FALSE),0)</f>
        <v>0</v>
      </c>
      <c r="V50" s="189">
        <f>IF(D50=År1,P50,SUM(O50,P50))*IFERROR(VLOOKUP(A50,[1]Tørstofindhold!A$2:B$24,2,FALSE),0)</f>
        <v>0</v>
      </c>
      <c r="W50" s="189">
        <f>J50*IFERROR(VLOOKUP(A50,[1]Tørstofindhold!A$2:B$24,2,FALSE),0)</f>
        <v>0</v>
      </c>
      <c r="X50" s="190">
        <f t="shared" si="12"/>
        <v>0</v>
      </c>
      <c r="Y50" s="170">
        <f t="shared" si="2"/>
        <v>0</v>
      </c>
      <c r="Z50" s="103">
        <f t="shared" si="3"/>
        <v>0</v>
      </c>
    </row>
    <row r="51" spans="1:26" hidden="1" x14ac:dyDescent="0.25">
      <c r="A51" s="191" t="str">
        <f t="shared" ref="A51:A82" si="17">A3</f>
        <v>Æg</v>
      </c>
      <c r="B51" s="191" t="str">
        <f t="shared" ref="B51:B82" si="18">IF(B3&lt;&gt;"",B3,"")</f>
        <v/>
      </c>
      <c r="C51" s="191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1">
        <f t="shared" ref="D51:D98" si="19">År2</f>
        <v>2030</v>
      </c>
      <c r="E51" s="189" t="s">
        <v>23</v>
      </c>
      <c r="F51" s="192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194824.14109362793</v>
      </c>
      <c r="G51" s="192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9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2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2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2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2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6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1">
        <f t="shared" si="9"/>
        <v>162244.35654062807</v>
      </c>
      <c r="O51" s="192">
        <f t="shared" si="1"/>
        <v>0</v>
      </c>
      <c r="P51" s="202">
        <f t="shared" si="10"/>
        <v>0</v>
      </c>
      <c r="Q51" s="189">
        <f>IFERROR(VLOOKUP(A51,[1]Energiindhold!$A$2:$C$11,3,FALSE),IFERROR(VLOOKUP(A51,[1]Biogasudbytte!$A$2:$B$18,2,FALSE)*[1]Energiindhold!$C$10,0))*O51</f>
        <v>0</v>
      </c>
      <c r="R51" s="189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9">
        <f>IFERROR(VLOOKUP(A51,[1]Biogasudbytte!$A$2:$B$18,2,FALSE)*[1]Energiindhold!$C$10,0)*J51*IFERROR(VLOOKUP(A51,Biogasanlæg!$F$3:$G$8,2,FALSE),1)</f>
        <v>0</v>
      </c>
      <c r="T51" s="190">
        <f t="shared" si="11"/>
        <v>0</v>
      </c>
      <c r="U51" s="188">
        <f>O51*IFERROR(VLOOKUP(A51,[1]Tørstofindhold!A$2:B$24,2,FALSE),0)</f>
        <v>0</v>
      </c>
      <c r="V51" s="189">
        <f>IF(D51=År1,P51,SUM(O51,P51))*IFERROR(VLOOKUP(A51,[1]Tørstofindhold!A$2:B$24,2,FALSE),0)</f>
        <v>0</v>
      </c>
      <c r="W51" s="189">
        <f>J51*IFERROR(VLOOKUP(A51,[1]Tørstofindhold!A$2:B$24,2,FALSE),0)</f>
        <v>0</v>
      </c>
      <c r="X51" s="190">
        <f t="shared" si="12"/>
        <v>0</v>
      </c>
      <c r="Y51" s="170">
        <f t="shared" si="2"/>
        <v>0</v>
      </c>
      <c r="Z51" s="103">
        <f t="shared" si="3"/>
        <v>1</v>
      </c>
    </row>
    <row r="52" spans="1:26" hidden="1" x14ac:dyDescent="0.25">
      <c r="A52" s="191" t="str">
        <f t="shared" si="17"/>
        <v>Bælgsæd</v>
      </c>
      <c r="B52" s="191" t="str">
        <f t="shared" si="18"/>
        <v/>
      </c>
      <c r="C52" s="191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1">
        <f t="shared" si="19"/>
        <v>2030</v>
      </c>
      <c r="E52" s="189" t="s">
        <v>23</v>
      </c>
      <c r="F52" s="192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679900.90308057657</v>
      </c>
      <c r="G52" s="192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0</v>
      </c>
      <c r="H52" s="189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2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2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2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2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6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1">
        <f t="shared" si="9"/>
        <v>636461.19034324342</v>
      </c>
      <c r="O52" s="192">
        <f t="shared" si="1"/>
        <v>0</v>
      </c>
      <c r="P52" s="202">
        <f t="shared" si="10"/>
        <v>0</v>
      </c>
      <c r="Q52" s="189">
        <f>IFERROR(VLOOKUP(A52,[1]Energiindhold!$A$2:$C$11,3,FALSE),IFERROR(VLOOKUP(A52,[1]Biogasudbytte!$A$2:$B$18,2,FALSE)*[1]Energiindhold!$C$10,0))*O52</f>
        <v>0</v>
      </c>
      <c r="R52" s="189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9">
        <f>IFERROR(VLOOKUP(A52,[1]Biogasudbytte!$A$2:$B$18,2,FALSE)*[1]Energiindhold!$C$10,0)*J52*IFERROR(VLOOKUP(A52,Biogasanlæg!$F$3:$G$8,2,FALSE),1)</f>
        <v>0</v>
      </c>
      <c r="T52" s="190">
        <f t="shared" si="11"/>
        <v>0</v>
      </c>
      <c r="U52" s="188">
        <f>O52*IFERROR(VLOOKUP(A52,[1]Tørstofindhold!A$2:B$24,2,FALSE),0)</f>
        <v>0</v>
      </c>
      <c r="V52" s="189">
        <f>IF(D52=År1,P52,SUM(O52,P52))*IFERROR(VLOOKUP(A52,[1]Tørstofindhold!A$2:B$24,2,FALSE),0)</f>
        <v>0</v>
      </c>
      <c r="W52" s="189">
        <f>J52*IFERROR(VLOOKUP(A52,[1]Tørstofindhold!A$2:B$24,2,FALSE),0)</f>
        <v>0</v>
      </c>
      <c r="X52" s="190">
        <f t="shared" si="12"/>
        <v>0</v>
      </c>
      <c r="Y52" s="170">
        <f t="shared" si="2"/>
        <v>0</v>
      </c>
      <c r="Z52" s="103">
        <f t="shared" si="3"/>
        <v>1</v>
      </c>
    </row>
    <row r="53" spans="1:26" hidden="1" x14ac:dyDescent="0.25">
      <c r="A53" s="191" t="str">
        <f t="shared" si="17"/>
        <v>Bioaffald</v>
      </c>
      <c r="B53" s="191" t="str">
        <f t="shared" si="18"/>
        <v>Bionedbrydeligt affald</v>
      </c>
      <c r="C53" s="191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1">
        <f t="shared" si="19"/>
        <v>2030</v>
      </c>
      <c r="E53" s="189" t="s">
        <v>23</v>
      </c>
      <c r="F53" s="192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205702.08942290704</v>
      </c>
      <c r="G53" s="192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9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2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2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195082.24112879008</v>
      </c>
      <c r="K53" s="192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2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10619.848294116964</v>
      </c>
      <c r="M53" s="156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1">
        <f t="shared" ca="1" si="9"/>
        <v>0</v>
      </c>
      <c r="O53" s="192">
        <f t="shared" ca="1" si="1"/>
        <v>0</v>
      </c>
      <c r="P53" s="202">
        <f t="shared" ca="1" si="10"/>
        <v>205702.08942290704</v>
      </c>
      <c r="Q53" s="189">
        <f ca="1">IFERROR(VLOOKUP(A53,[1]Energiindhold!$A$2:$C$11,3,FALSE),IFERROR(VLOOKUP(A53,[1]Biogasudbytte!$A$2:$B$18,2,FALSE)*[1]Energiindhold!$C$10,0))*O53</f>
        <v>0</v>
      </c>
      <c r="R53" s="189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0.85421551176676402</v>
      </c>
      <c r="S53" s="189">
        <f ca="1">IFERROR(VLOOKUP(A53,[1]Biogasudbytte!$A$2:$B$18,2,FALSE)*[1]Energiindhold!$C$10,0)*J53*IFERROR(VLOOKUP(A53,Biogasanlæg!$F$3:$G$8,2,FALSE),1)</f>
        <v>0.66462763812408632</v>
      </c>
      <c r="T53" s="190">
        <f t="shared" ca="1" si="11"/>
        <v>0.18958787364267771</v>
      </c>
      <c r="U53" s="188">
        <f ca="1">O53*IFERROR(VLOOKUP(A53,[1]Tørstofindhold!A$2:B$24,2,FALSE),0)</f>
        <v>0</v>
      </c>
      <c r="V53" s="189">
        <f ca="1">IF(D53=År1,P53,SUM(O53,P53))*IFERROR(VLOOKUP(A53,[1]Tørstofindhold!A$2:B$24,2,FALSE),0)</f>
        <v>57596.585038413978</v>
      </c>
      <c r="W53" s="189">
        <f ca="1">J53*IFERROR(VLOOKUP(A53,[1]Tørstofindhold!A$2:B$24,2,FALSE),0)</f>
        <v>54623.027516061229</v>
      </c>
      <c r="X53" s="190">
        <f t="shared" ca="1" si="12"/>
        <v>2973.5575223527485</v>
      </c>
      <c r="Y53" s="170">
        <f t="shared" ca="1" si="2"/>
        <v>0</v>
      </c>
      <c r="Z53" s="103">
        <f t="shared" ca="1" si="3"/>
        <v>0</v>
      </c>
    </row>
    <row r="54" spans="1:26" hidden="1" x14ac:dyDescent="0.25">
      <c r="A54" s="191" t="str">
        <f t="shared" si="17"/>
        <v>Biogas</v>
      </c>
      <c r="B54" s="191" t="str">
        <f t="shared" si="18"/>
        <v/>
      </c>
      <c r="C54" s="191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1">
        <f t="shared" si="19"/>
        <v>2030</v>
      </c>
      <c r="E54" s="189" t="s">
        <v>23</v>
      </c>
      <c r="F54" s="192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428489926.3479389</v>
      </c>
      <c r="G54" s="192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9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2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2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2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2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428489926.3479389</v>
      </c>
      <c r="M54" s="156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1">
        <f t="shared" ca="1" si="9"/>
        <v>0</v>
      </c>
      <c r="O54" s="192">
        <f t="shared" ca="1" si="1"/>
        <v>0</v>
      </c>
      <c r="P54" s="202">
        <f t="shared" ca="1" si="10"/>
        <v>428489926.3479389</v>
      </c>
      <c r="Q54" s="189">
        <f ca="1">IFERROR(VLOOKUP(A54,[1]Energiindhold!$A$2:$C$11,3,FALSE),IFERROR(VLOOKUP(A54,[1]Biogasudbytte!$A$2:$B$18,2,FALSE)*[1]Energiindhold!$C$10,0))*O54</f>
        <v>0</v>
      </c>
      <c r="R54" s="189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9">
        <f>IFERROR(VLOOKUP(A54,[1]Biogasudbytte!$A$2:$B$18,2,FALSE)*[1]Energiindhold!$C$10,0)*J54*IFERROR(VLOOKUP(A54,Biogasanlæg!$F$3:$G$8,2,FALSE),1)</f>
        <v>0</v>
      </c>
      <c r="T54" s="190">
        <f t="shared" si="11"/>
        <v>0</v>
      </c>
      <c r="U54" s="188">
        <f ca="1">O54*IFERROR(VLOOKUP(A54,[1]Tørstofindhold!A$2:B$24,2,FALSE),0)</f>
        <v>0</v>
      </c>
      <c r="V54" s="189">
        <f ca="1">IF(D54=År1,P54,SUM(O54,P54))*IFERROR(VLOOKUP(A54,[1]Tørstofindhold!A$2:B$24,2,FALSE),0)</f>
        <v>0</v>
      </c>
      <c r="W54" s="189">
        <f>J54*IFERROR(VLOOKUP(A54,[1]Tørstofindhold!A$2:B$24,2,FALSE),0)</f>
        <v>0</v>
      </c>
      <c r="X54" s="190">
        <f t="shared" ca="1" si="12"/>
        <v>0</v>
      </c>
      <c r="Y54" s="170">
        <f t="shared" ca="1" si="2"/>
        <v>0</v>
      </c>
      <c r="Z54" s="103">
        <f t="shared" ca="1" si="3"/>
        <v>0</v>
      </c>
    </row>
    <row r="55" spans="1:26" hidden="1" x14ac:dyDescent="0.25">
      <c r="A55" s="191" t="str">
        <f t="shared" si="17"/>
        <v>Biogasgylle</v>
      </c>
      <c r="B55" s="191" t="str">
        <f t="shared" si="18"/>
        <v/>
      </c>
      <c r="C55" s="191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1">
        <f t="shared" si="19"/>
        <v>2030</v>
      </c>
      <c r="E55" s="189" t="s">
        <v>23</v>
      </c>
      <c r="F55" s="192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16166382.724156056</v>
      </c>
      <c r="G55" s="192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9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2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2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2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11764874.104094444</v>
      </c>
      <c r="L55" s="192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6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1">
        <f t="shared" ca="1" si="9"/>
        <v>4401508.6200616118</v>
      </c>
      <c r="O55" s="192">
        <f t="shared" si="1"/>
        <v>0</v>
      </c>
      <c r="P55" s="202">
        <f t="shared" si="10"/>
        <v>0</v>
      </c>
      <c r="Q55" s="189">
        <f>IFERROR(VLOOKUP(A55,[1]Energiindhold!$A$2:$C$11,3,FALSE),IFERROR(VLOOKUP(A55,[1]Biogasudbytte!$A$2:$B$18,2,FALSE)*[1]Energiindhold!$C$10,0))*O55</f>
        <v>0</v>
      </c>
      <c r="R55" s="189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9">
        <f>IFERROR(VLOOKUP(A55,[1]Biogasudbytte!$A$2:$B$18,2,FALSE)*[1]Energiindhold!$C$10,0)*J55*IFERROR(VLOOKUP(A55,Biogasanlæg!$F$3:$G$8,2,FALSE),1)</f>
        <v>0</v>
      </c>
      <c r="T55" s="190">
        <f t="shared" si="11"/>
        <v>0</v>
      </c>
      <c r="U55" s="188">
        <f>O55*IFERROR(VLOOKUP(A55,[1]Tørstofindhold!A$2:B$24,2,FALSE),0)</f>
        <v>0</v>
      </c>
      <c r="V55" s="189">
        <f>IF(D55=År1,P55,SUM(O55,P55))*IFERROR(VLOOKUP(A55,[1]Tørstofindhold!A$2:B$24,2,FALSE),0)</f>
        <v>0</v>
      </c>
      <c r="W55" s="189">
        <f>J55*IFERROR(VLOOKUP(A55,[1]Tørstofindhold!A$2:B$24,2,FALSE),0)</f>
        <v>0</v>
      </c>
      <c r="X55" s="190">
        <f t="shared" si="12"/>
        <v>0</v>
      </c>
      <c r="Y55" s="170">
        <f t="shared" ca="1" si="2"/>
        <v>0</v>
      </c>
      <c r="Z55" s="103">
        <f t="shared" ca="1" si="3"/>
        <v>1</v>
      </c>
    </row>
    <row r="56" spans="1:26" hidden="1" x14ac:dyDescent="0.25">
      <c r="A56" s="191" t="str">
        <f t="shared" si="17"/>
        <v>Brun saft</v>
      </c>
      <c r="B56" s="191" t="str">
        <f t="shared" si="18"/>
        <v>Bionedbrydeligt affald</v>
      </c>
      <c r="C56" s="191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1">
        <f t="shared" si="19"/>
        <v>2030</v>
      </c>
      <c r="E56" s="189" t="s">
        <v>23</v>
      </c>
      <c r="F56" s="192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1150219.4392265794</v>
      </c>
      <c r="G56" s="192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9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2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2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747642.63549727667</v>
      </c>
      <c r="K56" s="192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2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6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1">
        <f t="shared" si="9"/>
        <v>402576.80372930272</v>
      </c>
      <c r="O56" s="192">
        <f t="shared" si="1"/>
        <v>402576.80372930272</v>
      </c>
      <c r="P56" s="202">
        <f t="shared" si="10"/>
        <v>747642.63549727667</v>
      </c>
      <c r="Q56" s="189">
        <f>IFERROR(VLOOKUP(A56,[1]Energiindhold!$A$2:$C$11,3,FALSE),IFERROR(VLOOKUP(A56,[1]Biogasudbytte!$A$2:$B$18,2,FALSE)*[1]Energiindhold!$C$10,0))*O56</f>
        <v>0.22867412248907362</v>
      </c>
      <c r="R56" s="189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0.65335463568306762</v>
      </c>
      <c r="S56" s="189">
        <f>IFERROR(VLOOKUP(A56,[1]Biogasudbytte!$A$2:$B$18,2,FALSE)*[1]Energiindhold!$C$10,0)*J56*IFERROR(VLOOKUP(A56,Biogasanlæg!$F$3:$G$8,2,FALSE),1)</f>
        <v>0.42468051319399397</v>
      </c>
      <c r="T56" s="190">
        <f t="shared" si="11"/>
        <v>0.22867412248907365</v>
      </c>
      <c r="U56" s="188">
        <f>O56*IFERROR(VLOOKUP(A56,[1]Tørstofindhold!A$2:B$24,2,FALSE),0)</f>
        <v>17215.547879927242</v>
      </c>
      <c r="V56" s="189">
        <f>IF(D56=År1,P56,SUM(O56,P56))*IFERROR(VLOOKUP(A56,[1]Tørstofindhold!A$2:B$24,2,FALSE),0)</f>
        <v>49187.279656934988</v>
      </c>
      <c r="W56" s="189">
        <f>J56*IFERROR(VLOOKUP(A56,[1]Tørstofindhold!A$2:B$24,2,FALSE),0)</f>
        <v>31971.731777007746</v>
      </c>
      <c r="X56" s="190">
        <f t="shared" si="12"/>
        <v>17215.547879927242</v>
      </c>
      <c r="Y56" s="170">
        <f t="shared" si="2"/>
        <v>0</v>
      </c>
      <c r="Z56" s="103">
        <f t="shared" si="3"/>
        <v>1</v>
      </c>
    </row>
    <row r="57" spans="1:26" hidden="1" x14ac:dyDescent="0.25">
      <c r="A57" s="191" t="str">
        <f t="shared" si="17"/>
        <v>Dybstrøelse</v>
      </c>
      <c r="B57" s="191" t="str">
        <f t="shared" si="18"/>
        <v>Husdyrgødning</v>
      </c>
      <c r="C57" s="191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1">
        <f t="shared" si="19"/>
        <v>2030</v>
      </c>
      <c r="E57" s="189" t="s">
        <v>23</v>
      </c>
      <c r="F57" s="192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2606461.4802133911</v>
      </c>
      <c r="G57" s="192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9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2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2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1694199.9621387043</v>
      </c>
      <c r="K57" s="192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345356.14612827433</v>
      </c>
      <c r="L57" s="192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6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1">
        <f t="shared" si="9"/>
        <v>566905.3719464126</v>
      </c>
      <c r="O57" s="192">
        <f t="shared" si="1"/>
        <v>566905.3719464126</v>
      </c>
      <c r="P57" s="202">
        <f t="shared" si="10"/>
        <v>1694199.9621387043</v>
      </c>
      <c r="Q57" s="189">
        <f>IFERROR(VLOOKUP(A57,[1]Energiindhold!$A$2:$C$11,3,FALSE),IFERROR(VLOOKUP(A57,[1]Biogasudbytte!$A$2:$B$18,2,FALSE)*[1]Energiindhold!$C$10,0))*O57</f>
        <v>1.2211141711725728</v>
      </c>
      <c r="R57" s="189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4.8704208896193419</v>
      </c>
      <c r="S57" s="189">
        <f>IFERROR(VLOOKUP(A57,[1]Biogasudbytte!$A$2:$B$18,2,FALSE)*[1]Energiindhold!$C$10,0)*J57*IFERROR(VLOOKUP(A57,Biogasanlæg!$F$3:$G$8,2,FALSE),1)</f>
        <v>3.6493067184467689</v>
      </c>
      <c r="T57" s="190">
        <f t="shared" si="11"/>
        <v>1.221114171172573</v>
      </c>
      <c r="U57" s="188">
        <f>O57*IFERROR(VLOOKUP(A57,[1]Tørstofindhold!A$2:B$24,2,FALSE),0)</f>
        <v>170071.61158392378</v>
      </c>
      <c r="V57" s="189">
        <f>IF(D57=År1,P57,SUM(O57,P57))*IFERROR(VLOOKUP(A57,[1]Tørstofindhold!A$2:B$24,2,FALSE),0)</f>
        <v>678331.6002255351</v>
      </c>
      <c r="W57" s="189">
        <f>J57*IFERROR(VLOOKUP(A57,[1]Tørstofindhold!A$2:B$24,2,FALSE),0)</f>
        <v>508259.98864161124</v>
      </c>
      <c r="X57" s="190">
        <f t="shared" si="12"/>
        <v>170071.61158392386</v>
      </c>
      <c r="Y57" s="170">
        <f t="shared" si="2"/>
        <v>0</v>
      </c>
      <c r="Z57" s="103">
        <f t="shared" si="3"/>
        <v>1</v>
      </c>
    </row>
    <row r="58" spans="1:26" hidden="1" x14ac:dyDescent="0.25">
      <c r="A58" s="191" t="str">
        <f t="shared" si="17"/>
        <v>Fiberfraktion</v>
      </c>
      <c r="B58" s="191" t="str">
        <f t="shared" si="18"/>
        <v/>
      </c>
      <c r="C58" s="191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1">
        <f t="shared" si="19"/>
        <v>2030</v>
      </c>
      <c r="E58" s="189" t="s">
        <v>23</v>
      </c>
      <c r="F58" s="192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810143.42964363529</v>
      </c>
      <c r="G58" s="192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809601.73248444556</v>
      </c>
      <c r="H58" s="189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2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2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2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2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6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1">
        <f t="shared" si="9"/>
        <v>541.69715918973088</v>
      </c>
      <c r="O58" s="192">
        <f t="shared" si="1"/>
        <v>0</v>
      </c>
      <c r="P58" s="202">
        <f t="shared" si="10"/>
        <v>0</v>
      </c>
      <c r="Q58" s="189">
        <f>IFERROR(VLOOKUP(A58,[1]Energiindhold!$A$2:$C$11,3,FALSE),IFERROR(VLOOKUP(A58,[1]Biogasudbytte!$A$2:$B$18,2,FALSE)*[1]Energiindhold!$C$10,0))*O58</f>
        <v>0</v>
      </c>
      <c r="R58" s="189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9">
        <f>IFERROR(VLOOKUP(A58,[1]Biogasudbytte!$A$2:$B$18,2,FALSE)*[1]Energiindhold!$C$10,0)*J58*IFERROR(VLOOKUP(A58,Biogasanlæg!$F$3:$G$8,2,FALSE),1)</f>
        <v>0</v>
      </c>
      <c r="T58" s="190">
        <f t="shared" si="11"/>
        <v>0</v>
      </c>
      <c r="U58" s="188">
        <f>O58*IFERROR(VLOOKUP(A58,[1]Tørstofindhold!A$2:B$24,2,FALSE),0)</f>
        <v>0</v>
      </c>
      <c r="V58" s="189">
        <f>IF(D58=År1,P58,SUM(O58,P58))*IFERROR(VLOOKUP(A58,[1]Tørstofindhold!A$2:B$24,2,FALSE),0)</f>
        <v>0</v>
      </c>
      <c r="W58" s="189">
        <f>J58*IFERROR(VLOOKUP(A58,[1]Tørstofindhold!A$2:B$24,2,FALSE),0)</f>
        <v>0</v>
      </c>
      <c r="X58" s="190">
        <f t="shared" si="12"/>
        <v>0</v>
      </c>
      <c r="Y58" s="170">
        <f t="shared" si="2"/>
        <v>0</v>
      </c>
      <c r="Z58" s="103">
        <f t="shared" si="3"/>
        <v>1</v>
      </c>
    </row>
    <row r="59" spans="1:26" hidden="1" x14ac:dyDescent="0.25">
      <c r="A59" s="191" t="str">
        <f t="shared" si="17"/>
        <v>Fjerkrægylle</v>
      </c>
      <c r="B59" s="191" t="str">
        <f t="shared" si="18"/>
        <v>Husdyrgødning</v>
      </c>
      <c r="C59" s="191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1">
        <f t="shared" si="19"/>
        <v>2030</v>
      </c>
      <c r="E59" s="189" t="s">
        <v>23</v>
      </c>
      <c r="F59" s="192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9271.9401550191069</v>
      </c>
      <c r="G59" s="192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9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2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2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6026.76110076242</v>
      </c>
      <c r="K59" s="192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3245.1790542566873</v>
      </c>
      <c r="L59" s="192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6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1">
        <f t="shared" si="9"/>
        <v>0</v>
      </c>
      <c r="O59" s="192">
        <f t="shared" si="1"/>
        <v>0</v>
      </c>
      <c r="P59" s="202">
        <f t="shared" si="10"/>
        <v>6026.76110076242</v>
      </c>
      <c r="Q59" s="189">
        <f>IFERROR(VLOOKUP(A59,[1]Energiindhold!$A$2:$C$11,3,FALSE),IFERROR(VLOOKUP(A59,[1]Biogasudbytte!$A$2:$B$18,2,FALSE)*[1]Energiindhold!$C$10,0))*O59</f>
        <v>0</v>
      </c>
      <c r="R59" s="189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2.8343254780775584E-3</v>
      </c>
      <c r="S59" s="189">
        <f>IFERROR(VLOOKUP(A59,[1]Biogasudbytte!$A$2:$B$18,2,FALSE)*[1]Energiindhold!$C$10,0)*J59*IFERROR(VLOOKUP(A59,Biogasanlæg!$F$3:$G$8,2,FALSE),1)</f>
        <v>2.8343254780775584E-3</v>
      </c>
      <c r="T59" s="190">
        <f t="shared" si="11"/>
        <v>0</v>
      </c>
      <c r="U59" s="188">
        <f>O59*IFERROR(VLOOKUP(A59,[1]Tørstofindhold!A$2:B$24,2,FALSE),0)</f>
        <v>0</v>
      </c>
      <c r="V59" s="189">
        <f>IF(D59=År1,P59,SUM(O59,P59))*IFERROR(VLOOKUP(A59,[1]Tørstofindhold!A$2:B$24,2,FALSE),0)</f>
        <v>379.68594934803247</v>
      </c>
      <c r="W59" s="189">
        <f>J59*IFERROR(VLOOKUP(A59,[1]Tørstofindhold!A$2:B$24,2,FALSE),0)</f>
        <v>379.68594934803247</v>
      </c>
      <c r="X59" s="190">
        <f t="shared" si="12"/>
        <v>0</v>
      </c>
      <c r="Y59" s="170">
        <f t="shared" si="2"/>
        <v>0</v>
      </c>
      <c r="Z59" s="103">
        <f t="shared" si="3"/>
        <v>0</v>
      </c>
    </row>
    <row r="60" spans="1:26" hidden="1" x14ac:dyDescent="0.25">
      <c r="A60" s="191" t="str">
        <f t="shared" si="17"/>
        <v>Fjerkrækød</v>
      </c>
      <c r="B60" s="191" t="str">
        <f t="shared" si="18"/>
        <v/>
      </c>
      <c r="C60" s="191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1">
        <f t="shared" si="19"/>
        <v>2030</v>
      </c>
      <c r="E60" s="189" t="s">
        <v>23</v>
      </c>
      <c r="F60" s="192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154481.48271865805</v>
      </c>
      <c r="G60" s="192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9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2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2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2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2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6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1">
        <f t="shared" si="9"/>
        <v>126245.66943939149</v>
      </c>
      <c r="O60" s="192">
        <f t="shared" si="1"/>
        <v>0</v>
      </c>
      <c r="P60" s="202">
        <f t="shared" si="10"/>
        <v>0</v>
      </c>
      <c r="Q60" s="189">
        <f>IFERROR(VLOOKUP(A60,[1]Energiindhold!$A$2:$C$11,3,FALSE),IFERROR(VLOOKUP(A60,[1]Biogasudbytte!$A$2:$B$18,2,FALSE)*[1]Energiindhold!$C$10,0))*O60</f>
        <v>0</v>
      </c>
      <c r="R60" s="189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9">
        <f>IFERROR(VLOOKUP(A60,[1]Biogasudbytte!$A$2:$B$18,2,FALSE)*[1]Energiindhold!$C$10,0)*J60*IFERROR(VLOOKUP(A60,Biogasanlæg!$F$3:$G$8,2,FALSE),1)</f>
        <v>0</v>
      </c>
      <c r="T60" s="190">
        <f t="shared" si="11"/>
        <v>0</v>
      </c>
      <c r="U60" s="188">
        <f>O60*IFERROR(VLOOKUP(A60,[1]Tørstofindhold!A$2:B$24,2,FALSE),0)</f>
        <v>0</v>
      </c>
      <c r="V60" s="189">
        <f>IF(D60=År1,P60,SUM(O60,P60))*IFERROR(VLOOKUP(A60,[1]Tørstofindhold!A$2:B$24,2,FALSE),0)</f>
        <v>0</v>
      </c>
      <c r="W60" s="189">
        <f>J60*IFERROR(VLOOKUP(A60,[1]Tørstofindhold!A$2:B$24,2,FALSE),0)</f>
        <v>0</v>
      </c>
      <c r="X60" s="190">
        <f t="shared" si="12"/>
        <v>0</v>
      </c>
      <c r="Y60" s="170">
        <f t="shared" si="2"/>
        <v>0</v>
      </c>
      <c r="Z60" s="103">
        <f t="shared" si="3"/>
        <v>1</v>
      </c>
    </row>
    <row r="61" spans="1:26" hidden="1" x14ac:dyDescent="0.25">
      <c r="A61" s="191" t="str">
        <f t="shared" si="17"/>
        <v>Frø</v>
      </c>
      <c r="B61" s="191" t="str">
        <f t="shared" si="18"/>
        <v/>
      </c>
      <c r="C61" s="191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1">
        <f t="shared" si="19"/>
        <v>2030</v>
      </c>
      <c r="E61" s="189" t="s">
        <v>23</v>
      </c>
      <c r="F61" s="192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926499.36509059242</v>
      </c>
      <c r="G61" s="192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9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2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2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2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2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6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1">
        <f t="shared" si="9"/>
        <v>926499.36509059242</v>
      </c>
      <c r="O61" s="192">
        <f t="shared" si="1"/>
        <v>0</v>
      </c>
      <c r="P61" s="202">
        <f t="shared" si="10"/>
        <v>0</v>
      </c>
      <c r="Q61" s="189">
        <f>IFERROR(VLOOKUP(A61,[1]Energiindhold!$A$2:$C$11,3,FALSE),IFERROR(VLOOKUP(A61,[1]Biogasudbytte!$A$2:$B$18,2,FALSE)*[1]Energiindhold!$C$10,0))*O61</f>
        <v>0</v>
      </c>
      <c r="R61" s="189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9">
        <f>IFERROR(VLOOKUP(A61,[1]Biogasudbytte!$A$2:$B$18,2,FALSE)*[1]Energiindhold!$C$10,0)*J61*IFERROR(VLOOKUP(A61,Biogasanlæg!$F$3:$G$8,2,FALSE),1)</f>
        <v>0</v>
      </c>
      <c r="T61" s="190">
        <f t="shared" si="11"/>
        <v>0</v>
      </c>
      <c r="U61" s="188">
        <f>O61*IFERROR(VLOOKUP(A61,[1]Tørstofindhold!A$2:B$24,2,FALSE),0)</f>
        <v>0</v>
      </c>
      <c r="V61" s="189">
        <f>IF(D61=År1,P61,SUM(O61,P61))*IFERROR(VLOOKUP(A61,[1]Tørstofindhold!A$2:B$24,2,FALSE),0)</f>
        <v>0</v>
      </c>
      <c r="W61" s="189">
        <f>J61*IFERROR(VLOOKUP(A61,[1]Tørstofindhold!A$2:B$24,2,FALSE),0)</f>
        <v>0</v>
      </c>
      <c r="X61" s="190">
        <f t="shared" si="12"/>
        <v>0</v>
      </c>
      <c r="Y61" s="170">
        <f t="shared" si="2"/>
        <v>0</v>
      </c>
      <c r="Z61" s="103">
        <f t="shared" si="3"/>
        <v>1</v>
      </c>
    </row>
    <row r="62" spans="1:26" hidden="1" x14ac:dyDescent="0.25">
      <c r="A62" s="191" t="str">
        <f t="shared" si="17"/>
        <v>Frugt</v>
      </c>
      <c r="B62" s="191" t="str">
        <f t="shared" si="18"/>
        <v/>
      </c>
      <c r="C62" s="191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1">
        <f t="shared" si="19"/>
        <v>2030</v>
      </c>
      <c r="E62" s="189" t="s">
        <v>23</v>
      </c>
      <c r="F62" s="192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129276.58076711251</v>
      </c>
      <c r="G62" s="192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9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2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2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2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2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6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1">
        <f t="shared" si="9"/>
        <v>-128646.71361080311</v>
      </c>
      <c r="O62" s="192">
        <f t="shared" si="1"/>
        <v>0</v>
      </c>
      <c r="P62" s="202">
        <f t="shared" si="10"/>
        <v>0</v>
      </c>
      <c r="Q62" s="189">
        <f>IFERROR(VLOOKUP(A62,[1]Energiindhold!$A$2:$C$11,3,FALSE),IFERROR(VLOOKUP(A62,[1]Biogasudbytte!$A$2:$B$18,2,FALSE)*[1]Energiindhold!$C$10,0))*O62</f>
        <v>0</v>
      </c>
      <c r="R62" s="189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9">
        <f>IFERROR(VLOOKUP(A62,[1]Biogasudbytte!$A$2:$B$18,2,FALSE)*[1]Energiindhold!$C$10,0)*J62*IFERROR(VLOOKUP(A62,Biogasanlæg!$F$3:$G$8,2,FALSE),1)</f>
        <v>0</v>
      </c>
      <c r="T62" s="190">
        <f t="shared" si="11"/>
        <v>0</v>
      </c>
      <c r="U62" s="188">
        <f>O62*IFERROR(VLOOKUP(A62,[1]Tørstofindhold!A$2:B$24,2,FALSE),0)</f>
        <v>0</v>
      </c>
      <c r="V62" s="189">
        <f>IF(D62=År1,P62,SUM(O62,P62))*IFERROR(VLOOKUP(A62,[1]Tørstofindhold!A$2:B$24,2,FALSE),0)</f>
        <v>0</v>
      </c>
      <c r="W62" s="189">
        <f>J62*IFERROR(VLOOKUP(A62,[1]Tørstofindhold!A$2:B$24,2,FALSE),0)</f>
        <v>0</v>
      </c>
      <c r="X62" s="190">
        <f t="shared" si="12"/>
        <v>0</v>
      </c>
      <c r="Y62" s="170">
        <f t="shared" si="2"/>
        <v>1</v>
      </c>
      <c r="Z62" s="103">
        <f t="shared" si="3"/>
        <v>0</v>
      </c>
    </row>
    <row r="63" spans="1:26" hidden="1" x14ac:dyDescent="0.25">
      <c r="A63" s="191" t="str">
        <f t="shared" si="17"/>
        <v>Glycerin</v>
      </c>
      <c r="B63" s="191" t="str">
        <f t="shared" si="18"/>
        <v>Glycerin</v>
      </c>
      <c r="C63" s="191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1">
        <f t="shared" si="19"/>
        <v>2030</v>
      </c>
      <c r="E63" s="189" t="s">
        <v>23</v>
      </c>
      <c r="F63" s="192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2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9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2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2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2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2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6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1">
        <f t="shared" si="9"/>
        <v>-114193.60000000001</v>
      </c>
      <c r="O63" s="192">
        <f t="shared" si="1"/>
        <v>0</v>
      </c>
      <c r="P63" s="202">
        <f t="shared" si="10"/>
        <v>114193.60000000001</v>
      </c>
      <c r="Q63" s="189">
        <f>IFERROR(VLOOKUP(A63,[1]Energiindhold!$A$2:$C$11,3,FALSE),IFERROR(VLOOKUP(A63,[1]Biogasudbytte!$A$2:$B$18,2,FALSE)*[1]Energiindhold!$C$10,0))*O63</f>
        <v>0</v>
      </c>
      <c r="R63" s="189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9">
        <f>IFERROR(VLOOKUP(A63,[1]Biogasudbytte!$A$2:$B$18,2,FALSE)*[1]Energiindhold!$C$10,0)*J63*IFERROR(VLOOKUP(A63,Biogasanlæg!$F$3:$G$8,2,FALSE),1)</f>
        <v>1.7355855896064003</v>
      </c>
      <c r="T63" s="190">
        <f t="shared" si="11"/>
        <v>0</v>
      </c>
      <c r="U63" s="188">
        <f>O63*IFERROR(VLOOKUP(A63,[1]Tørstofindhold!A$2:B$24,2,FALSE),0)</f>
        <v>0</v>
      </c>
      <c r="V63" s="189">
        <f>IF(D63=År1,P63,SUM(O63,P63))*IFERROR(VLOOKUP(A63,[1]Tørstofindhold!A$2:B$24,2,FALSE),0)</f>
        <v>102774.24</v>
      </c>
      <c r="W63" s="189">
        <f>J63*IFERROR(VLOOKUP(A63,[1]Tørstofindhold!A$2:B$24,2,FALSE),0)</f>
        <v>102774.24</v>
      </c>
      <c r="X63" s="190">
        <f t="shared" si="12"/>
        <v>0</v>
      </c>
      <c r="Y63" s="170">
        <f t="shared" si="2"/>
        <v>1</v>
      </c>
      <c r="Z63" s="103">
        <f t="shared" si="3"/>
        <v>0</v>
      </c>
    </row>
    <row r="64" spans="1:26" hidden="1" x14ac:dyDescent="0.25">
      <c r="A64" s="191" t="str">
        <f t="shared" si="17"/>
        <v>Græs</v>
      </c>
      <c r="B64" s="191" t="str">
        <f t="shared" si="18"/>
        <v>Græs og urter</v>
      </c>
      <c r="C64" s="191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1">
        <f t="shared" si="19"/>
        <v>2030</v>
      </c>
      <c r="E64" s="189" t="s">
        <v>23</v>
      </c>
      <c r="F64" s="192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13033560.764952054</v>
      </c>
      <c r="G64" s="192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9338080.0380292125</v>
      </c>
      <c r="H64" s="189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2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2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2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2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6">
        <f>SUMIFS('Forbrug af biomasse'!E:E,'Forbrug af biomasse'!C:C,'Resultat-Produktion &amp; forbrug'!$A64,'Forbrug af biomasse'!D:D,'Resultat-Produktion &amp; forbrug'!$D64,'Forbrug af biomasse'!G:G,1,'Forbrug af biomasse'!B:B,$E64)</f>
        <v>2353861.1061256947</v>
      </c>
      <c r="N64" s="201">
        <f t="shared" si="9"/>
        <v>1341619.620797148</v>
      </c>
      <c r="O64" s="192">
        <f t="shared" si="1"/>
        <v>1341619.620797148</v>
      </c>
      <c r="P64" s="202">
        <f t="shared" si="10"/>
        <v>0</v>
      </c>
      <c r="Q64" s="189">
        <f>IFERROR(VLOOKUP(A64,[1]Energiindhold!$A$2:$C$11,3,FALSE),IFERROR(VLOOKUP(A64,[1]Biogasudbytte!$A$2:$B$18,2,FALSE)*[1]Energiindhold!$C$10,0))*O64</f>
        <v>2.4684123998141527</v>
      </c>
      <c r="R64" s="189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2.4684123998141527</v>
      </c>
      <c r="S64" s="189">
        <f>IFERROR(VLOOKUP(A64,[1]Biogasudbytte!$A$2:$B$18,2,FALSE)*[1]Energiindhold!$C$10,0)*J64*IFERROR(VLOOKUP(A64,Biogasanlæg!$F$3:$G$8,2,FALSE),1)</f>
        <v>0</v>
      </c>
      <c r="T64" s="190">
        <f t="shared" si="11"/>
        <v>2.4684123998141527</v>
      </c>
      <c r="U64" s="188">
        <f>O64*IFERROR(VLOOKUP(A64,[1]Tørstofindhold!A$2:B$24,2,FALSE),0)</f>
        <v>375653.49382320145</v>
      </c>
      <c r="V64" s="189">
        <f>IF(D64=År1,P64,SUM(O64,P64))*IFERROR(VLOOKUP(A64,[1]Tørstofindhold!A$2:B$24,2,FALSE),0)</f>
        <v>375653.49382320145</v>
      </c>
      <c r="W64" s="189">
        <f>J64*IFERROR(VLOOKUP(A64,[1]Tørstofindhold!A$2:B$24,2,FALSE),0)</f>
        <v>0</v>
      </c>
      <c r="X64" s="190">
        <f t="shared" si="12"/>
        <v>375653.49382320145</v>
      </c>
      <c r="Y64" s="170">
        <f t="shared" si="2"/>
        <v>0</v>
      </c>
      <c r="Z64" s="103">
        <f t="shared" si="3"/>
        <v>1</v>
      </c>
    </row>
    <row r="65" spans="1:26" hidden="1" x14ac:dyDescent="0.25">
      <c r="A65" s="191" t="str">
        <f t="shared" si="17"/>
        <v>Græsprotein</v>
      </c>
      <c r="B65" s="191" t="str">
        <f t="shared" si="18"/>
        <v/>
      </c>
      <c r="C65" s="191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1">
        <f t="shared" si="19"/>
        <v>2030</v>
      </c>
      <c r="E65" s="189" t="s">
        <v>23</v>
      </c>
      <c r="F65" s="192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393498.23725547997</v>
      </c>
      <c r="G65" s="192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393498.23725547997</v>
      </c>
      <c r="H65" s="189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2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2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2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2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6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1">
        <f t="shared" si="9"/>
        <v>0</v>
      </c>
      <c r="O65" s="192">
        <f t="shared" si="1"/>
        <v>0</v>
      </c>
      <c r="P65" s="202">
        <f t="shared" si="10"/>
        <v>0</v>
      </c>
      <c r="Q65" s="189">
        <f>IFERROR(VLOOKUP(A65,[1]Energiindhold!$A$2:$C$11,3,FALSE),IFERROR(VLOOKUP(A65,[1]Biogasudbytte!$A$2:$B$18,2,FALSE)*[1]Energiindhold!$C$10,0))*O65</f>
        <v>0</v>
      </c>
      <c r="R65" s="189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9">
        <f>IFERROR(VLOOKUP(A65,[1]Biogasudbytte!$A$2:$B$18,2,FALSE)*[1]Energiindhold!$C$10,0)*J65*IFERROR(VLOOKUP(A65,Biogasanlæg!$F$3:$G$8,2,FALSE),1)</f>
        <v>0</v>
      </c>
      <c r="T65" s="190">
        <f t="shared" si="11"/>
        <v>0</v>
      </c>
      <c r="U65" s="188">
        <f>O65*IFERROR(VLOOKUP(A65,[1]Tørstofindhold!A$2:B$24,2,FALSE),0)</f>
        <v>0</v>
      </c>
      <c r="V65" s="189">
        <f>IF(D65=År1,P65,SUM(O65,P65))*IFERROR(VLOOKUP(A65,[1]Tørstofindhold!A$2:B$24,2,FALSE),0)</f>
        <v>0</v>
      </c>
      <c r="W65" s="189">
        <f>J65*IFERROR(VLOOKUP(A65,[1]Tørstofindhold!A$2:B$24,2,FALSE),0)</f>
        <v>0</v>
      </c>
      <c r="X65" s="190">
        <f t="shared" si="12"/>
        <v>0</v>
      </c>
      <c r="Y65" s="170">
        <f t="shared" si="2"/>
        <v>0</v>
      </c>
      <c r="Z65" s="103">
        <f t="shared" si="3"/>
        <v>0</v>
      </c>
    </row>
    <row r="66" spans="1:26" hidden="1" x14ac:dyDescent="0.25">
      <c r="A66" s="191" t="str">
        <f t="shared" si="17"/>
        <v>Grøntsager</v>
      </c>
      <c r="B66" s="191" t="str">
        <f t="shared" si="18"/>
        <v/>
      </c>
      <c r="C66" s="191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1">
        <f t="shared" si="19"/>
        <v>2030</v>
      </c>
      <c r="E66" s="189" t="s">
        <v>23</v>
      </c>
      <c r="F66" s="192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1389473.3777842107</v>
      </c>
      <c r="G66" s="192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9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2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2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2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2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6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1">
        <f t="shared" si="9"/>
        <v>1119332.6641989201</v>
      </c>
      <c r="O66" s="192">
        <f t="shared" si="1"/>
        <v>0</v>
      </c>
      <c r="P66" s="202">
        <f t="shared" si="10"/>
        <v>0</v>
      </c>
      <c r="Q66" s="189">
        <f>IFERROR(VLOOKUP(A66,[1]Energiindhold!$A$2:$C$11,3,FALSE),IFERROR(VLOOKUP(A66,[1]Biogasudbytte!$A$2:$B$18,2,FALSE)*[1]Energiindhold!$C$10,0))*O66</f>
        <v>0</v>
      </c>
      <c r="R66" s="189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9">
        <f>IFERROR(VLOOKUP(A66,[1]Biogasudbytte!$A$2:$B$18,2,FALSE)*[1]Energiindhold!$C$10,0)*J66*IFERROR(VLOOKUP(A66,Biogasanlæg!$F$3:$G$8,2,FALSE),1)</f>
        <v>0</v>
      </c>
      <c r="T66" s="190">
        <f t="shared" si="11"/>
        <v>0</v>
      </c>
      <c r="U66" s="188">
        <f>O66*IFERROR(VLOOKUP(A66,[1]Tørstofindhold!A$2:B$24,2,FALSE),0)</f>
        <v>0</v>
      </c>
      <c r="V66" s="189">
        <f>IF(D66=År1,P66,SUM(O66,P66))*IFERROR(VLOOKUP(A66,[1]Tørstofindhold!A$2:B$24,2,FALSE),0)</f>
        <v>0</v>
      </c>
      <c r="W66" s="189">
        <f>J66*IFERROR(VLOOKUP(A66,[1]Tørstofindhold!A$2:B$24,2,FALSE),0)</f>
        <v>0</v>
      </c>
      <c r="X66" s="190">
        <f t="shared" si="12"/>
        <v>0</v>
      </c>
      <c r="Y66" s="170">
        <f t="shared" si="2"/>
        <v>0</v>
      </c>
      <c r="Z66" s="103">
        <f t="shared" si="3"/>
        <v>1</v>
      </c>
    </row>
    <row r="67" spans="1:26" x14ac:dyDescent="0.25">
      <c r="A67" s="191" t="str">
        <f t="shared" si="17"/>
        <v>Halm</v>
      </c>
      <c r="B67" s="191" t="str">
        <f t="shared" si="18"/>
        <v>Halm og strå</v>
      </c>
      <c r="C67" s="191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1">
        <f t="shared" si="19"/>
        <v>2030</v>
      </c>
      <c r="E67" s="189" t="s">
        <v>23</v>
      </c>
      <c r="F67" s="192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2738776.3609784585</v>
      </c>
      <c r="G67" s="192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0</v>
      </c>
      <c r="H67" s="189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534046.98787814996</v>
      </c>
      <c r="I67" s="192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2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2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2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1119079.1108234245</v>
      </c>
      <c r="M67" s="156">
        <f>SUMIFS('Forbrug af biomasse'!E:E,'Forbrug af biomasse'!C:C,'Resultat-Produktion &amp; forbrug'!$A67,'Forbrug af biomasse'!D:D,'Resultat-Produktion &amp; forbrug'!$D67,'Forbrug af biomasse'!G:G,1,'Forbrug af biomasse'!B:B,$E67)</f>
        <v>1085650.2622768846</v>
      </c>
      <c r="N67" s="201">
        <f t="shared" si="9"/>
        <v>0</v>
      </c>
      <c r="O67" s="192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2">
        <f t="shared" si="10"/>
        <v>1119079.1108234245</v>
      </c>
      <c r="Q67" s="189">
        <f>IFERROR(VLOOKUP(A67,[1]Energiindhold!$A$2:$C$11,3,FALSE),IFERROR(VLOOKUP(A67,[1]Biogasudbytte!$A$2:$B$18,2,FALSE)*[1]Energiindhold!$C$10,0))*O67</f>
        <v>0</v>
      </c>
      <c r="R67" s="189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11.566584967641599</v>
      </c>
      <c r="S67" s="189">
        <f>IFERROR(VLOOKUP(A67,[1]Biogasudbytte!$A$2:$B$18,2,FALSE)*[1]Energiindhold!$C$10,0)*J67*IFERROR(VLOOKUP(A67,Biogasanlæg!$F$3:$G$8,2,FALSE),1)</f>
        <v>0</v>
      </c>
      <c r="T67" s="190">
        <f t="shared" si="11"/>
        <v>11.566584967641599</v>
      </c>
      <c r="U67" s="188">
        <f>O67*IFERROR(VLOOKUP(A67,[1]Tørstofindhold!A$2:B$24,2,FALSE),0)</f>
        <v>0</v>
      </c>
      <c r="V67" s="189">
        <f>IF(D67=År1,P67,SUM(O67,P67))*IFERROR(VLOOKUP(A67,[1]Tørstofindhold!A$2:B$24,2,FALSE),0)</f>
        <v>951217.24419991078</v>
      </c>
      <c r="W67" s="189">
        <f>J67*IFERROR(VLOOKUP(A67,[1]Tørstofindhold!A$2:B$24,2,FALSE),0)</f>
        <v>0</v>
      </c>
      <c r="X67" s="190">
        <f t="shared" si="12"/>
        <v>951217.24419991078</v>
      </c>
      <c r="Y67" s="170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1" t="str">
        <f t="shared" si="17"/>
        <v>Have/parkaffald</v>
      </c>
      <c r="B68" s="191" t="str">
        <f t="shared" si="18"/>
        <v>Bionedbrydeligt affald</v>
      </c>
      <c r="C68" s="191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1">
        <f t="shared" si="19"/>
        <v>2030</v>
      </c>
      <c r="E68" s="189" t="s">
        <v>23</v>
      </c>
      <c r="F68" s="192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2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9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2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2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2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2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6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1">
        <f t="shared" si="9"/>
        <v>0</v>
      </c>
      <c r="O68" s="192">
        <f t="shared" si="20"/>
        <v>0</v>
      </c>
      <c r="P68" s="202">
        <f t="shared" si="10"/>
        <v>526734.10986839118</v>
      </c>
      <c r="Q68" s="189">
        <f>IFERROR(VLOOKUP(A68,[1]Energiindhold!$A$2:$C$11,3,FALSE),IFERROR(VLOOKUP(A68,[1]Biogasudbytte!$A$2:$B$18,2,FALSE)*[1]Energiindhold!$C$10,0))*O68</f>
        <v>0</v>
      </c>
      <c r="R68" s="189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89">
        <f>IFERROR(VLOOKUP(A68,[1]Biogasudbytte!$A$2:$B$18,2,FALSE)*[1]Energiindhold!$C$10,0)*J68*IFERROR(VLOOKUP(A68,Biogasanlæg!$F$3:$G$8,2,FALSE),1)</f>
        <v>0.72806121225525533</v>
      </c>
      <c r="T68" s="190">
        <f t="shared" si="11"/>
        <v>1.7490899080527118</v>
      </c>
      <c r="U68" s="188">
        <f>O68*IFERROR(VLOOKUP(A68,[1]Tørstofindhold!A$2:B$24,2,FALSE),0)</f>
        <v>0</v>
      </c>
      <c r="V68" s="189">
        <f>IF(D68=År1,P68,SUM(O68,P68))*IFERROR(VLOOKUP(A68,[1]Tørstofindhold!A$2:B$24,2,FALSE),0)</f>
        <v>158020.23296051734</v>
      </c>
      <c r="W68" s="189">
        <f>J68*IFERROR(VLOOKUP(A68,[1]Tørstofindhold!A$2:B$24,2,FALSE),0)</f>
        <v>128627.42035167958</v>
      </c>
      <c r="X68" s="190">
        <f t="shared" si="12"/>
        <v>29392.812608837761</v>
      </c>
      <c r="Y68" s="170">
        <f t="shared" si="21"/>
        <v>0</v>
      </c>
      <c r="Z68" s="103">
        <f t="shared" si="22"/>
        <v>0</v>
      </c>
    </row>
    <row r="69" spans="1:26" hidden="1" x14ac:dyDescent="0.25">
      <c r="A69" s="191" t="str">
        <f t="shared" si="17"/>
        <v>Import af foder</v>
      </c>
      <c r="B69" s="191" t="str">
        <f t="shared" si="18"/>
        <v/>
      </c>
      <c r="C69" s="191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1">
        <f t="shared" si="19"/>
        <v>2030</v>
      </c>
      <c r="E69" s="189" t="s">
        <v>23</v>
      </c>
      <c r="F69" s="192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2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1828597.931611574</v>
      </c>
      <c r="H69" s="189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2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2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2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2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6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1">
        <f t="shared" si="9"/>
        <v>-1828597.931611574</v>
      </c>
      <c r="O69" s="192">
        <f t="shared" si="20"/>
        <v>0</v>
      </c>
      <c r="P69" s="202">
        <f t="shared" si="10"/>
        <v>0</v>
      </c>
      <c r="Q69" s="189">
        <f>IFERROR(VLOOKUP(A69,[1]Energiindhold!$A$2:$C$11,3,FALSE),IFERROR(VLOOKUP(A69,[1]Biogasudbytte!$A$2:$B$18,2,FALSE)*[1]Energiindhold!$C$10,0))*O69</f>
        <v>0</v>
      </c>
      <c r="R69" s="189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9">
        <f>IFERROR(VLOOKUP(A69,[1]Biogasudbytte!$A$2:$B$18,2,FALSE)*[1]Energiindhold!$C$10,0)*J69*IFERROR(VLOOKUP(A69,Biogasanlæg!$F$3:$G$8,2,FALSE),1)</f>
        <v>0</v>
      </c>
      <c r="T69" s="190">
        <f t="shared" si="11"/>
        <v>0</v>
      </c>
      <c r="U69" s="188">
        <f>O69*IFERROR(VLOOKUP(A69,[1]Tørstofindhold!A$2:B$24,2,FALSE),0)</f>
        <v>0</v>
      </c>
      <c r="V69" s="189">
        <f>IF(D69=År1,P69,SUM(O69,P69))*IFERROR(VLOOKUP(A69,[1]Tørstofindhold!A$2:B$24,2,FALSE),0)</f>
        <v>0</v>
      </c>
      <c r="W69" s="189">
        <f>J69*IFERROR(VLOOKUP(A69,[1]Tørstofindhold!A$2:B$24,2,FALSE),0)</f>
        <v>0</v>
      </c>
      <c r="X69" s="190">
        <f t="shared" si="12"/>
        <v>0</v>
      </c>
      <c r="Y69" s="170">
        <f t="shared" si="21"/>
        <v>1</v>
      </c>
      <c r="Z69" s="103">
        <f t="shared" si="22"/>
        <v>0</v>
      </c>
    </row>
    <row r="70" spans="1:26" hidden="1" x14ac:dyDescent="0.25">
      <c r="A70" s="191" t="str">
        <f t="shared" si="17"/>
        <v>Industriaffald</v>
      </c>
      <c r="B70" s="191" t="str">
        <f t="shared" si="18"/>
        <v>Bionedbrydeligt affald</v>
      </c>
      <c r="C70" s="191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1">
        <f t="shared" si="19"/>
        <v>2030</v>
      </c>
      <c r="E70" s="189" t="s">
        <v>23</v>
      </c>
      <c r="F70" s="192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434537.51475409197</v>
      </c>
      <c r="G70" s="192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9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2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2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415611.46668729465</v>
      </c>
      <c r="K70" s="192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2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6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1">
        <f t="shared" si="9"/>
        <v>18926.048066797317</v>
      </c>
      <c r="O70" s="192">
        <f t="shared" si="20"/>
        <v>18926.048066797317</v>
      </c>
      <c r="P70" s="202">
        <f t="shared" si="10"/>
        <v>415611.46668729465</v>
      </c>
      <c r="Q70" s="189">
        <f>IFERROR(VLOOKUP(A70,[1]Energiindhold!$A$2:$C$11,3,FALSE),IFERROR(VLOOKUP(A70,[1]Biogasudbytte!$A$2:$B$18,2,FALSE)*[1]Energiindhold!$C$10,0))*O70</f>
        <v>8.2009026659681461E-2</v>
      </c>
      <c r="R70" s="189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1.612772764109391</v>
      </c>
      <c r="S70" s="189">
        <f>IFERROR(VLOOKUP(A70,[1]Biogasudbytte!$A$2:$B$18,2,FALSE)*[1]Energiindhold!$C$10,0)*J70*IFERROR(VLOOKUP(A70,Biogasanlæg!$F$3:$G$8,2,FALSE),1)</f>
        <v>1.5307637374497096</v>
      </c>
      <c r="T70" s="190">
        <f t="shared" si="11"/>
        <v>8.200902665968135E-2</v>
      </c>
      <c r="U70" s="188">
        <f>O70*IFERROR(VLOOKUP(A70,[1]Tørstofindhold!A$2:B$24,2,FALSE),0)</f>
        <v>7948.940188054873</v>
      </c>
      <c r="V70" s="189">
        <f>IF(D70=År1,P70,SUM(O70,P70))*IFERROR(VLOOKUP(A70,[1]Tørstofindhold!A$2:B$24,2,FALSE),0)</f>
        <v>182505.75619671863</v>
      </c>
      <c r="W70" s="189">
        <f>J70*IFERROR(VLOOKUP(A70,[1]Tørstofindhold!A$2:B$24,2,FALSE),0)</f>
        <v>174556.81600866374</v>
      </c>
      <c r="X70" s="190">
        <f t="shared" si="12"/>
        <v>7948.9401880548976</v>
      </c>
      <c r="Y70" s="170">
        <f t="shared" si="21"/>
        <v>0</v>
      </c>
      <c r="Z70" s="103">
        <f t="shared" si="22"/>
        <v>1</v>
      </c>
    </row>
    <row r="71" spans="1:26" hidden="1" x14ac:dyDescent="0.25">
      <c r="A71" s="191" t="str">
        <f t="shared" si="17"/>
        <v>Juletræer</v>
      </c>
      <c r="B71" s="191" t="str">
        <f t="shared" si="18"/>
        <v/>
      </c>
      <c r="C71" s="191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1">
        <f t="shared" si="19"/>
        <v>2030</v>
      </c>
      <c r="E71" s="189" t="s">
        <v>23</v>
      </c>
      <c r="F71" s="192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595525.47886913677</v>
      </c>
      <c r="G71" s="192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9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2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2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2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2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6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1">
        <f t="shared" si="9"/>
        <v>595525.47886913677</v>
      </c>
      <c r="O71" s="192">
        <f t="shared" si="20"/>
        <v>0</v>
      </c>
      <c r="P71" s="202">
        <f t="shared" si="10"/>
        <v>0</v>
      </c>
      <c r="Q71" s="189">
        <f>IFERROR(VLOOKUP(A71,[1]Energiindhold!$A$2:$C$11,3,FALSE),IFERROR(VLOOKUP(A71,[1]Biogasudbytte!$A$2:$B$18,2,FALSE)*[1]Energiindhold!$C$10,0))*O71</f>
        <v>0</v>
      </c>
      <c r="R71" s="189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9">
        <f>IFERROR(VLOOKUP(A71,[1]Biogasudbytte!$A$2:$B$18,2,FALSE)*[1]Energiindhold!$C$10,0)*J71*IFERROR(VLOOKUP(A71,Biogasanlæg!$F$3:$G$8,2,FALSE),1)</f>
        <v>0</v>
      </c>
      <c r="T71" s="190">
        <f t="shared" si="11"/>
        <v>0</v>
      </c>
      <c r="U71" s="188">
        <f>O71*IFERROR(VLOOKUP(A71,[1]Tørstofindhold!A$2:B$24,2,FALSE),0)</f>
        <v>0</v>
      </c>
      <c r="V71" s="189">
        <f>IF(D71=År1,P71,SUM(O71,P71))*IFERROR(VLOOKUP(A71,[1]Tørstofindhold!A$2:B$24,2,FALSE),0)</f>
        <v>0</v>
      </c>
      <c r="W71" s="189">
        <f>J71*IFERROR(VLOOKUP(A71,[1]Tørstofindhold!A$2:B$24,2,FALSE),0)</f>
        <v>0</v>
      </c>
      <c r="X71" s="190">
        <f t="shared" si="12"/>
        <v>0</v>
      </c>
      <c r="Y71" s="170">
        <f t="shared" si="21"/>
        <v>0</v>
      </c>
      <c r="Z71" s="103">
        <f t="shared" si="22"/>
        <v>1</v>
      </c>
    </row>
    <row r="72" spans="1:26" hidden="1" x14ac:dyDescent="0.25">
      <c r="A72" s="191" t="str">
        <f t="shared" si="17"/>
        <v>Kartofler</v>
      </c>
      <c r="B72" s="191" t="str">
        <f t="shared" si="18"/>
        <v/>
      </c>
      <c r="C72" s="191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1">
        <f t="shared" si="19"/>
        <v>2030</v>
      </c>
      <c r="E72" s="189" t="s">
        <v>23</v>
      </c>
      <c r="F72" s="192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1991290.2581626636</v>
      </c>
      <c r="G72" s="192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9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2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2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2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2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6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1">
        <f t="shared" si="9"/>
        <v>1867758.5750658724</v>
      </c>
      <c r="O72" s="192">
        <f t="shared" si="20"/>
        <v>0</v>
      </c>
      <c r="P72" s="202">
        <f t="shared" si="10"/>
        <v>0</v>
      </c>
      <c r="Q72" s="189">
        <f>IFERROR(VLOOKUP(A72,[1]Energiindhold!$A$2:$C$11,3,FALSE),IFERROR(VLOOKUP(A72,[1]Biogasudbytte!$A$2:$B$18,2,FALSE)*[1]Energiindhold!$C$10,0))*O72</f>
        <v>0</v>
      </c>
      <c r="R72" s="189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9">
        <f>IFERROR(VLOOKUP(A72,[1]Biogasudbytte!$A$2:$B$18,2,FALSE)*[1]Energiindhold!$C$10,0)*J72*IFERROR(VLOOKUP(A72,Biogasanlæg!$F$3:$G$8,2,FALSE),1)</f>
        <v>0</v>
      </c>
      <c r="T72" s="190">
        <f t="shared" si="11"/>
        <v>0</v>
      </c>
      <c r="U72" s="188">
        <f>O72*IFERROR(VLOOKUP(A72,[1]Tørstofindhold!A$2:B$24,2,FALSE),0)</f>
        <v>0</v>
      </c>
      <c r="V72" s="189">
        <f>IF(D72=År1,P72,SUM(O72,P72))*IFERROR(VLOOKUP(A72,[1]Tørstofindhold!A$2:B$24,2,FALSE),0)</f>
        <v>0</v>
      </c>
      <c r="W72" s="189">
        <f>J72*IFERROR(VLOOKUP(A72,[1]Tørstofindhold!A$2:B$24,2,FALSE),0)</f>
        <v>0</v>
      </c>
      <c r="X72" s="190">
        <f t="shared" si="12"/>
        <v>0</v>
      </c>
      <c r="Y72" s="170">
        <f t="shared" si="21"/>
        <v>0</v>
      </c>
      <c r="Z72" s="103">
        <f t="shared" si="22"/>
        <v>1</v>
      </c>
    </row>
    <row r="73" spans="1:26" hidden="1" x14ac:dyDescent="0.25">
      <c r="A73" s="191" t="str">
        <f t="shared" si="17"/>
        <v>Korn</v>
      </c>
      <c r="B73" s="191" t="str">
        <f t="shared" si="18"/>
        <v>Halm og strå</v>
      </c>
      <c r="C73" s="191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1">
        <f t="shared" si="19"/>
        <v>2030</v>
      </c>
      <c r="E73" s="189" t="s">
        <v>23</v>
      </c>
      <c r="F73" s="192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4561269.4761999724</v>
      </c>
      <c r="G73" s="192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4453697.1570319049</v>
      </c>
      <c r="H73" s="189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2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2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2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2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6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1">
        <f t="shared" si="9"/>
        <v>-188360.72385501489</v>
      </c>
      <c r="O73" s="192">
        <f t="shared" si="20"/>
        <v>0</v>
      </c>
      <c r="P73" s="202">
        <f t="shared" si="10"/>
        <v>0</v>
      </c>
      <c r="Q73" s="189">
        <f>IFERROR(VLOOKUP(A73,[1]Energiindhold!$A$2:$C$11,3,FALSE),IFERROR(VLOOKUP(A73,[1]Biogasudbytte!$A$2:$B$18,2,FALSE)*[1]Energiindhold!$C$10,0))*O73</f>
        <v>0</v>
      </c>
      <c r="R73" s="189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9">
        <f>IFERROR(VLOOKUP(A73,[1]Biogasudbytte!$A$2:$B$18,2,FALSE)*[1]Energiindhold!$C$10,0)*J73*IFERROR(VLOOKUP(A73,Biogasanlæg!$F$3:$G$8,2,FALSE),1)</f>
        <v>0</v>
      </c>
      <c r="T73" s="190">
        <f t="shared" si="11"/>
        <v>0</v>
      </c>
      <c r="U73" s="188">
        <f>O73*IFERROR(VLOOKUP(A73,[1]Tørstofindhold!A$2:B$24,2,FALSE),0)</f>
        <v>0</v>
      </c>
      <c r="V73" s="189">
        <f>IF(D73=År1,P73,SUM(O73,P73))*IFERROR(VLOOKUP(A73,[1]Tørstofindhold!A$2:B$24,2,FALSE),0)</f>
        <v>0</v>
      </c>
      <c r="W73" s="189">
        <f>J73*IFERROR(VLOOKUP(A73,[1]Tørstofindhold!A$2:B$24,2,FALSE),0)</f>
        <v>0</v>
      </c>
      <c r="X73" s="190">
        <f t="shared" si="12"/>
        <v>0</v>
      </c>
      <c r="Y73" s="170">
        <f t="shared" si="21"/>
        <v>0</v>
      </c>
      <c r="Z73" s="103">
        <f t="shared" si="22"/>
        <v>1</v>
      </c>
    </row>
    <row r="74" spans="1:26" hidden="1" x14ac:dyDescent="0.25">
      <c r="A74" s="191" t="str">
        <f t="shared" si="17"/>
        <v>Kunstgødning</v>
      </c>
      <c r="B74" s="191" t="str">
        <f t="shared" si="18"/>
        <v/>
      </c>
      <c r="C74" s="191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1">
        <f t="shared" si="19"/>
        <v>2030</v>
      </c>
      <c r="E74" s="189" t="s">
        <v>23</v>
      </c>
      <c r="F74" s="192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2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9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2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2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2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1228477.143126321</v>
      </c>
      <c r="L74" s="192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6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1">
        <f t="shared" ca="1" si="9"/>
        <v>-1228477.143126321</v>
      </c>
      <c r="O74" s="192">
        <f t="shared" si="20"/>
        <v>0</v>
      </c>
      <c r="P74" s="202">
        <f t="shared" si="10"/>
        <v>0</v>
      </c>
      <c r="Q74" s="189">
        <f>IFERROR(VLOOKUP(A74,[1]Energiindhold!$A$2:$C$11,3,FALSE),IFERROR(VLOOKUP(A74,[1]Biogasudbytte!$A$2:$B$18,2,FALSE)*[1]Energiindhold!$C$10,0))*O74</f>
        <v>0</v>
      </c>
      <c r="R74" s="189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9">
        <f>IFERROR(VLOOKUP(A74,[1]Biogasudbytte!$A$2:$B$18,2,FALSE)*[1]Energiindhold!$C$10,0)*J74*IFERROR(VLOOKUP(A74,Biogasanlæg!$F$3:$G$8,2,FALSE),1)</f>
        <v>0</v>
      </c>
      <c r="T74" s="190">
        <f t="shared" si="11"/>
        <v>0</v>
      </c>
      <c r="U74" s="188">
        <f>O74*IFERROR(VLOOKUP(A74,[1]Tørstofindhold!A$2:B$24,2,FALSE),0)</f>
        <v>0</v>
      </c>
      <c r="V74" s="189">
        <f>IF(D74=År1,P74,SUM(O74,P74))*IFERROR(VLOOKUP(A74,[1]Tørstofindhold!A$2:B$24,2,FALSE),0)</f>
        <v>0</v>
      </c>
      <c r="W74" s="189">
        <f>J74*IFERROR(VLOOKUP(A74,[1]Tørstofindhold!A$2:B$24,2,FALSE),0)</f>
        <v>0</v>
      </c>
      <c r="X74" s="190">
        <f t="shared" si="12"/>
        <v>0</v>
      </c>
      <c r="Y74" s="170">
        <f t="shared" ca="1" si="21"/>
        <v>1</v>
      </c>
      <c r="Z74" s="103">
        <f t="shared" ca="1" si="22"/>
        <v>0</v>
      </c>
    </row>
    <row r="75" spans="1:26" hidden="1" x14ac:dyDescent="0.25">
      <c r="A75" s="191" t="str">
        <f t="shared" si="17"/>
        <v>Kvæggylle</v>
      </c>
      <c r="B75" s="191" t="str">
        <f t="shared" si="18"/>
        <v>Husdyrgødning</v>
      </c>
      <c r="C75" s="191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1">
        <f t="shared" si="19"/>
        <v>2030</v>
      </c>
      <c r="E75" s="189" t="s">
        <v>23</v>
      </c>
      <c r="F75" s="192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9142476.9191584084</v>
      </c>
      <c r="G75" s="192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9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2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2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5942609.9974529659</v>
      </c>
      <c r="K75" s="192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3199866.9217054429</v>
      </c>
      <c r="L75" s="192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6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1">
        <f t="shared" si="9"/>
        <v>0</v>
      </c>
      <c r="O75" s="192">
        <f t="shared" si="20"/>
        <v>0</v>
      </c>
      <c r="P75" s="202">
        <f t="shared" si="10"/>
        <v>5942609.9974529659</v>
      </c>
      <c r="Q75" s="189">
        <f>IFERROR(VLOOKUP(A75,[1]Energiindhold!$A$2:$C$11,3,FALSE),IFERROR(VLOOKUP(A75,[1]Biogasudbytte!$A$2:$B$18,2,FALSE)*[1]Energiindhold!$C$10,0))*O75</f>
        <v>0</v>
      </c>
      <c r="R75" s="189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3.008089754610717</v>
      </c>
      <c r="S75" s="189">
        <f>IFERROR(VLOOKUP(A75,[1]Biogasudbytte!$A$2:$B$18,2,FALSE)*[1]Energiindhold!$C$10,0)*J75*IFERROR(VLOOKUP(A75,Biogasanlæg!$F$3:$G$8,2,FALSE),1)</f>
        <v>3.008089754610717</v>
      </c>
      <c r="T75" s="190">
        <f t="shared" si="11"/>
        <v>0</v>
      </c>
      <c r="U75" s="188">
        <f>O75*IFERROR(VLOOKUP(A75,[1]Tørstofindhold!A$2:B$24,2,FALSE),0)</f>
        <v>0</v>
      </c>
      <c r="V75" s="189">
        <f>IF(D75=År1,P75,SUM(O75,P75))*IFERROR(VLOOKUP(A75,[1]Tørstofindhold!A$2:B$24,2,FALSE),0)</f>
        <v>451638.3598064254</v>
      </c>
      <c r="W75" s="189">
        <f>J75*IFERROR(VLOOKUP(A75,[1]Tørstofindhold!A$2:B$24,2,FALSE),0)</f>
        <v>451638.3598064254</v>
      </c>
      <c r="X75" s="190">
        <f t="shared" si="12"/>
        <v>0</v>
      </c>
      <c r="Y75" s="170">
        <f t="shared" si="21"/>
        <v>0</v>
      </c>
      <c r="Z75" s="103">
        <f t="shared" si="22"/>
        <v>0</v>
      </c>
    </row>
    <row r="76" spans="1:26" hidden="1" x14ac:dyDescent="0.25">
      <c r="A76" s="191" t="str">
        <f t="shared" si="17"/>
        <v>Mælk til foder</v>
      </c>
      <c r="B76" s="191" t="str">
        <f t="shared" si="18"/>
        <v/>
      </c>
      <c r="C76" s="191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1">
        <f t="shared" si="19"/>
        <v>2030</v>
      </c>
      <c r="E76" s="189" t="s">
        <v>23</v>
      </c>
      <c r="F76" s="192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1143513.3275141963</v>
      </c>
      <c r="G76" s="192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1144082.0425725533</v>
      </c>
      <c r="H76" s="189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2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2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2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2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6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1">
        <f t="shared" si="9"/>
        <v>-568.71505835698918</v>
      </c>
      <c r="O76" s="192">
        <f t="shared" si="20"/>
        <v>0</v>
      </c>
      <c r="P76" s="202">
        <f t="shared" si="10"/>
        <v>0</v>
      </c>
      <c r="Q76" s="189">
        <f>IFERROR(VLOOKUP(A76,[1]Energiindhold!$A$2:$C$11,3,FALSE),IFERROR(VLOOKUP(A76,[1]Biogasudbytte!$A$2:$B$18,2,FALSE)*[1]Energiindhold!$C$10,0))*O76</f>
        <v>0</v>
      </c>
      <c r="R76" s="189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9">
        <f>IFERROR(VLOOKUP(A76,[1]Biogasudbytte!$A$2:$B$18,2,FALSE)*[1]Energiindhold!$C$10,0)*J76*IFERROR(VLOOKUP(A76,Biogasanlæg!$F$3:$G$8,2,FALSE),1)</f>
        <v>0</v>
      </c>
      <c r="T76" s="190">
        <f t="shared" si="11"/>
        <v>0</v>
      </c>
      <c r="U76" s="188">
        <f>O76*IFERROR(VLOOKUP(A76,[1]Tørstofindhold!A$2:B$24,2,FALSE),0)</f>
        <v>0</v>
      </c>
      <c r="V76" s="189">
        <f>IF(D76=År1,P76,SUM(O76,P76))*IFERROR(VLOOKUP(A76,[1]Tørstofindhold!A$2:B$24,2,FALSE),0)</f>
        <v>0</v>
      </c>
      <c r="W76" s="189">
        <f>J76*IFERROR(VLOOKUP(A76,[1]Tørstofindhold!A$2:B$24,2,FALSE),0)</f>
        <v>0</v>
      </c>
      <c r="X76" s="190">
        <f t="shared" si="12"/>
        <v>0</v>
      </c>
      <c r="Y76" s="170">
        <f t="shared" si="21"/>
        <v>1</v>
      </c>
      <c r="Z76" s="103">
        <f t="shared" si="22"/>
        <v>0</v>
      </c>
    </row>
    <row r="77" spans="1:26" hidden="1" x14ac:dyDescent="0.25">
      <c r="A77" s="191" t="str">
        <f t="shared" si="17"/>
        <v>Majs</v>
      </c>
      <c r="B77" s="191" t="str">
        <f t="shared" si="18"/>
        <v>Græs og urter</v>
      </c>
      <c r="C77" s="191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1">
        <f t="shared" si="19"/>
        <v>2030</v>
      </c>
      <c r="E77" s="189" t="s">
        <v>23</v>
      </c>
      <c r="F77" s="192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3911198.5394176375</v>
      </c>
      <c r="G77" s="192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4311555.6383084813</v>
      </c>
      <c r="H77" s="189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2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2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2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2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6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1">
        <f t="shared" si="9"/>
        <v>-400357.0988908438</v>
      </c>
      <c r="O77" s="192">
        <f t="shared" si="20"/>
        <v>0</v>
      </c>
      <c r="P77" s="202">
        <f t="shared" si="10"/>
        <v>0</v>
      </c>
      <c r="Q77" s="189">
        <f>IFERROR(VLOOKUP(A77,[1]Energiindhold!$A$2:$C$11,3,FALSE),IFERROR(VLOOKUP(A77,[1]Biogasudbytte!$A$2:$B$18,2,FALSE)*[1]Energiindhold!$C$10,0))*O77</f>
        <v>0</v>
      </c>
      <c r="R77" s="189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9">
        <f>IFERROR(VLOOKUP(A77,[1]Biogasudbytte!$A$2:$B$18,2,FALSE)*[1]Energiindhold!$C$10,0)*J77*IFERROR(VLOOKUP(A77,Biogasanlæg!$F$3:$G$8,2,FALSE),1)</f>
        <v>0</v>
      </c>
      <c r="T77" s="190">
        <f t="shared" si="11"/>
        <v>0</v>
      </c>
      <c r="U77" s="188">
        <f>O77*IFERROR(VLOOKUP(A77,[1]Tørstofindhold!A$2:B$24,2,FALSE),0)</f>
        <v>0</v>
      </c>
      <c r="V77" s="189">
        <f>IF(D77=År1,P77,SUM(O77,P77))*IFERROR(VLOOKUP(A77,[1]Tørstofindhold!A$2:B$24,2,FALSE),0)</f>
        <v>0</v>
      </c>
      <c r="W77" s="189">
        <f>J77*IFERROR(VLOOKUP(A77,[1]Tørstofindhold!A$2:B$24,2,FALSE),0)</f>
        <v>0</v>
      </c>
      <c r="X77" s="190">
        <f t="shared" si="12"/>
        <v>0</v>
      </c>
      <c r="Y77" s="170">
        <f t="shared" si="21"/>
        <v>0</v>
      </c>
      <c r="Z77" s="103">
        <f t="shared" si="22"/>
        <v>1</v>
      </c>
    </row>
    <row r="78" spans="1:26" hidden="1" x14ac:dyDescent="0.25">
      <c r="A78" s="191" t="str">
        <f t="shared" si="17"/>
        <v>Mejeriprodukter</v>
      </c>
      <c r="B78" s="191" t="str">
        <f t="shared" si="18"/>
        <v/>
      </c>
      <c r="C78" s="191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1">
        <f t="shared" si="19"/>
        <v>2030</v>
      </c>
      <c r="E78" s="189" t="s">
        <v>23</v>
      </c>
      <c r="F78" s="192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2206387.2508722222</v>
      </c>
      <c r="G78" s="192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9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2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2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2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2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6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1">
        <f t="shared" si="9"/>
        <v>1733980.3748537241</v>
      </c>
      <c r="O78" s="192">
        <f t="shared" si="20"/>
        <v>0</v>
      </c>
      <c r="P78" s="202">
        <f t="shared" si="10"/>
        <v>0</v>
      </c>
      <c r="Q78" s="189">
        <f>IFERROR(VLOOKUP(A78,[1]Energiindhold!$A$2:$C$11,3,FALSE),IFERROR(VLOOKUP(A78,[1]Biogasudbytte!$A$2:$B$18,2,FALSE)*[1]Energiindhold!$C$10,0))*O78</f>
        <v>0</v>
      </c>
      <c r="R78" s="189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9">
        <f>IFERROR(VLOOKUP(A78,[1]Biogasudbytte!$A$2:$B$18,2,FALSE)*[1]Energiindhold!$C$10,0)*J78*IFERROR(VLOOKUP(A78,Biogasanlæg!$F$3:$G$8,2,FALSE),1)</f>
        <v>0</v>
      </c>
      <c r="T78" s="190">
        <f t="shared" si="11"/>
        <v>0</v>
      </c>
      <c r="U78" s="188">
        <f>O78*IFERROR(VLOOKUP(A78,[1]Tørstofindhold!A$2:B$24,2,FALSE),0)</f>
        <v>0</v>
      </c>
      <c r="V78" s="189">
        <f>IF(D78=År1,P78,SUM(O78,P78))*IFERROR(VLOOKUP(A78,[1]Tørstofindhold!A$2:B$24,2,FALSE),0)</f>
        <v>0</v>
      </c>
      <c r="W78" s="189">
        <f>J78*IFERROR(VLOOKUP(A78,[1]Tørstofindhold!A$2:B$24,2,FALSE),0)</f>
        <v>0</v>
      </c>
      <c r="X78" s="190">
        <f t="shared" si="12"/>
        <v>0</v>
      </c>
      <c r="Y78" s="170">
        <f t="shared" si="21"/>
        <v>0</v>
      </c>
      <c r="Z78" s="103">
        <f t="shared" si="22"/>
        <v>1</v>
      </c>
    </row>
    <row r="79" spans="1:26" hidden="1" x14ac:dyDescent="0.25">
      <c r="A79" s="191" t="str">
        <f t="shared" si="17"/>
        <v>Muslinger</v>
      </c>
      <c r="B79" s="191" t="str">
        <f t="shared" si="18"/>
        <v>Havbiomasse</v>
      </c>
      <c r="C79" s="191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1">
        <f t="shared" si="19"/>
        <v>2030</v>
      </c>
      <c r="E79" s="189" t="s">
        <v>23</v>
      </c>
      <c r="F79" s="192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21640.199818552966</v>
      </c>
      <c r="G79" s="192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9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2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2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2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2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6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1">
        <f t="shared" si="9"/>
        <v>21640.199818552966</v>
      </c>
      <c r="O79" s="192">
        <f t="shared" si="20"/>
        <v>21640.199818552966</v>
      </c>
      <c r="P79" s="202">
        <f t="shared" si="10"/>
        <v>0</v>
      </c>
      <c r="Q79" s="189">
        <f>IFERROR(VLOOKUP(A79,[1]Energiindhold!$A$2:$C$11,3,FALSE),IFERROR(VLOOKUP(A79,[1]Biogasudbytte!$A$2:$B$18,2,FALSE)*[1]Energiindhold!$C$10,0))*O79</f>
        <v>1.9422079337151288E-2</v>
      </c>
      <c r="R79" s="189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1.9422079337151288E-2</v>
      </c>
      <c r="S79" s="189">
        <f>IFERROR(VLOOKUP(A79,[1]Biogasudbytte!$A$2:$B$18,2,FALSE)*[1]Energiindhold!$C$10,0)*J79*IFERROR(VLOOKUP(A79,Biogasanlæg!$F$3:$G$8,2,FALSE),1)</f>
        <v>0</v>
      </c>
      <c r="T79" s="190">
        <f t="shared" si="11"/>
        <v>1.9422079337151288E-2</v>
      </c>
      <c r="U79" s="188">
        <f>O79*IFERROR(VLOOKUP(A79,[1]Tørstofindhold!A$2:B$24,2,FALSE),0)</f>
        <v>3246.0299727829447</v>
      </c>
      <c r="V79" s="189">
        <f>IF(D79=År1,P79,SUM(O79,P79))*IFERROR(VLOOKUP(A79,[1]Tørstofindhold!A$2:B$24,2,FALSE),0)</f>
        <v>3246.0299727829447</v>
      </c>
      <c r="W79" s="189">
        <f>J79*IFERROR(VLOOKUP(A79,[1]Tørstofindhold!A$2:B$24,2,FALSE),0)</f>
        <v>0</v>
      </c>
      <c r="X79" s="190">
        <f t="shared" si="12"/>
        <v>3246.0299727829447</v>
      </c>
      <c r="Y79" s="170">
        <f t="shared" si="21"/>
        <v>0</v>
      </c>
      <c r="Z79" s="103">
        <f t="shared" si="22"/>
        <v>1</v>
      </c>
    </row>
    <row r="80" spans="1:26" hidden="1" x14ac:dyDescent="0.25">
      <c r="A80" s="191" t="str">
        <f t="shared" si="17"/>
        <v>Oksekød</v>
      </c>
      <c r="B80" s="191" t="str">
        <f t="shared" si="18"/>
        <v/>
      </c>
      <c r="C80" s="191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1">
        <f t="shared" si="19"/>
        <v>2030</v>
      </c>
      <c r="E80" s="189" t="s">
        <v>23</v>
      </c>
      <c r="F80" s="192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71517.739783611425</v>
      </c>
      <c r="G80" s="192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9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2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2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2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2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6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1">
        <f t="shared" si="9"/>
        <v>23495.137352489619</v>
      </c>
      <c r="O80" s="192">
        <f t="shared" si="20"/>
        <v>0</v>
      </c>
      <c r="P80" s="202">
        <f t="shared" si="10"/>
        <v>0</v>
      </c>
      <c r="Q80" s="189">
        <f>IFERROR(VLOOKUP(A80,[1]Energiindhold!$A$2:$C$11,3,FALSE),IFERROR(VLOOKUP(A80,[1]Biogasudbytte!$A$2:$B$18,2,FALSE)*[1]Energiindhold!$C$10,0))*O80</f>
        <v>0</v>
      </c>
      <c r="R80" s="189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9">
        <f>IFERROR(VLOOKUP(A80,[1]Biogasudbytte!$A$2:$B$18,2,FALSE)*[1]Energiindhold!$C$10,0)*J80*IFERROR(VLOOKUP(A80,Biogasanlæg!$F$3:$G$8,2,FALSE),1)</f>
        <v>0</v>
      </c>
      <c r="T80" s="190">
        <f t="shared" si="11"/>
        <v>0</v>
      </c>
      <c r="U80" s="188">
        <f>O80*IFERROR(VLOOKUP(A80,[1]Tørstofindhold!A$2:B$24,2,FALSE),0)</f>
        <v>0</v>
      </c>
      <c r="V80" s="189">
        <f>IF(D80=År1,P80,SUM(O80,P80))*IFERROR(VLOOKUP(A80,[1]Tørstofindhold!A$2:B$24,2,FALSE),0)</f>
        <v>0</v>
      </c>
      <c r="W80" s="189">
        <f>J80*IFERROR(VLOOKUP(A80,[1]Tørstofindhold!A$2:B$24,2,FALSE),0)</f>
        <v>0</v>
      </c>
      <c r="X80" s="190">
        <f t="shared" si="12"/>
        <v>0</v>
      </c>
      <c r="Y80" s="170">
        <f t="shared" si="21"/>
        <v>1</v>
      </c>
      <c r="Z80" s="103">
        <f t="shared" si="22"/>
        <v>0</v>
      </c>
    </row>
    <row r="81" spans="1:26" hidden="1" x14ac:dyDescent="0.25">
      <c r="A81" s="191" t="str">
        <f t="shared" si="17"/>
        <v>Øvrige</v>
      </c>
      <c r="B81" s="191" t="str">
        <f t="shared" si="18"/>
        <v/>
      </c>
      <c r="C81" s="191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1">
        <f t="shared" si="19"/>
        <v>2030</v>
      </c>
      <c r="E81" s="189" t="s">
        <v>23</v>
      </c>
      <c r="F81" s="192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1306243.4433962547</v>
      </c>
      <c r="G81" s="192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9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2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2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2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2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6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1">
        <f t="shared" si="9"/>
        <v>1306243.4433962547</v>
      </c>
      <c r="O81" s="192">
        <f t="shared" si="20"/>
        <v>0</v>
      </c>
      <c r="P81" s="202">
        <f t="shared" si="10"/>
        <v>0</v>
      </c>
      <c r="Q81" s="189">
        <f>IFERROR(VLOOKUP(A81,[1]Energiindhold!$A$2:$C$11,3,FALSE),IFERROR(VLOOKUP(A81,[1]Biogasudbytte!$A$2:$B$18,2,FALSE)*[1]Energiindhold!$C$10,0))*O81</f>
        <v>0</v>
      </c>
      <c r="R81" s="189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9">
        <f>IFERROR(VLOOKUP(A81,[1]Biogasudbytte!$A$2:$B$18,2,FALSE)*[1]Energiindhold!$C$10,0)*J81*IFERROR(VLOOKUP(A81,Biogasanlæg!$F$3:$G$8,2,FALSE),1)</f>
        <v>0</v>
      </c>
      <c r="T81" s="190">
        <f t="shared" si="11"/>
        <v>0</v>
      </c>
      <c r="U81" s="188">
        <f>O81*IFERROR(VLOOKUP(A81,[1]Tørstofindhold!A$2:B$24,2,FALSE),0)</f>
        <v>0</v>
      </c>
      <c r="V81" s="189">
        <f>IF(D81=År1,P81,SUM(O81,P81))*IFERROR(VLOOKUP(A81,[1]Tørstofindhold!A$2:B$24,2,FALSE),0)</f>
        <v>0</v>
      </c>
      <c r="W81" s="189">
        <f>J81*IFERROR(VLOOKUP(A81,[1]Tørstofindhold!A$2:B$24,2,FALSE),0)</f>
        <v>0</v>
      </c>
      <c r="X81" s="190">
        <f t="shared" si="12"/>
        <v>0</v>
      </c>
      <c r="Y81" s="170">
        <f t="shared" si="21"/>
        <v>0</v>
      </c>
      <c r="Z81" s="103">
        <f t="shared" si="22"/>
        <v>1</v>
      </c>
    </row>
    <row r="82" spans="1:26" hidden="1" x14ac:dyDescent="0.25">
      <c r="A82" s="191" t="str">
        <f t="shared" si="17"/>
        <v>Pil &amp; poppel</v>
      </c>
      <c r="B82" s="191" t="str">
        <f t="shared" si="18"/>
        <v>Vedmasse</v>
      </c>
      <c r="C82" s="191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1">
        <f t="shared" si="19"/>
        <v>2030</v>
      </c>
      <c r="E82" s="189" t="s">
        <v>23</v>
      </c>
      <c r="F82" s="192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124648.5815119847</v>
      </c>
      <c r="G82" s="192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9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2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2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2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2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124648.5815119847</v>
      </c>
      <c r="M82" s="156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1">
        <f t="shared" ref="N82:N149" si="23">F82-SUM(G82:M82)</f>
        <v>0</v>
      </c>
      <c r="O82" s="192">
        <f t="shared" si="20"/>
        <v>0</v>
      </c>
      <c r="P82" s="202">
        <f t="shared" ref="P82:P149" si="24">SUM(J82,L82)</f>
        <v>124648.5815119847</v>
      </c>
      <c r="Q82" s="189">
        <f>IFERROR(VLOOKUP(A82,[1]Energiindhold!$A$2:$C$11,3,FALSE),IFERROR(VLOOKUP(A82,[1]Biogasudbytte!$A$2:$B$18,2,FALSE)*[1]Energiindhold!$C$10,0))*O82</f>
        <v>0</v>
      </c>
      <c r="R82" s="189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2.2935338998205181</v>
      </c>
      <c r="S82" s="189">
        <f>IFERROR(VLOOKUP(A82,[1]Biogasudbytte!$A$2:$B$18,2,FALSE)*[1]Energiindhold!$C$10,0)*J82*IFERROR(VLOOKUP(A82,Biogasanlæg!$F$3:$G$8,2,FALSE),1)</f>
        <v>0</v>
      </c>
      <c r="T82" s="190">
        <f t="shared" ref="T82:T149" si="25">R82-S82</f>
        <v>2.2935338998205181</v>
      </c>
      <c r="U82" s="188">
        <f>O82*IFERROR(VLOOKUP(A82,[1]Tørstofindhold!A$2:B$24,2,FALSE),0)</f>
        <v>0</v>
      </c>
      <c r="V82" s="189">
        <f>IF(D82=År1,P82,SUM(O82,P82))*IFERROR(VLOOKUP(A82,[1]Tørstofindhold!A$2:B$24,2,FALSE),0)</f>
        <v>51729.161327473652</v>
      </c>
      <c r="W82" s="189">
        <f>J82*IFERROR(VLOOKUP(A82,[1]Tørstofindhold!A$2:B$24,2,FALSE),0)</f>
        <v>0</v>
      </c>
      <c r="X82" s="190">
        <f t="shared" ref="X82:X149" si="26">V82-W82</f>
        <v>51729.161327473652</v>
      </c>
      <c r="Y82" s="170">
        <f t="shared" si="21"/>
        <v>0</v>
      </c>
      <c r="Z82" s="103">
        <f t="shared" si="22"/>
        <v>0</v>
      </c>
    </row>
    <row r="83" spans="1:26" hidden="1" x14ac:dyDescent="0.25">
      <c r="A83" s="191" t="str">
        <f t="shared" ref="A83:A84" si="27">A35</f>
        <v>Pyrolysegas</v>
      </c>
      <c r="B83" s="191" t="str">
        <f t="shared" ref="B83:B84" si="28">IF(B35&lt;&gt;"",B35,"")</f>
        <v>Pyrolyseprodukter</v>
      </c>
      <c r="C83" s="191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1">
        <f t="shared" si="19"/>
        <v>2030</v>
      </c>
      <c r="E83" s="189" t="s">
        <v>23</v>
      </c>
      <c r="F83" s="192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607964.14687505551</v>
      </c>
      <c r="G83" s="192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9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2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2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2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2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607964.14687505551</v>
      </c>
      <c r="M83" s="156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1">
        <f t="shared" ref="N83:N84" si="29">F83-SUM(G83:M83)</f>
        <v>0</v>
      </c>
      <c r="O83" s="192">
        <f t="shared" si="20"/>
        <v>0</v>
      </c>
      <c r="P83" s="202">
        <f t="shared" ref="P83:P84" si="30">SUM(J83,L83)</f>
        <v>607964.14687505551</v>
      </c>
      <c r="Q83" s="189">
        <f>IFERROR(VLOOKUP(A83,[1]Energiindhold!$A$2:$C$11,3,FALSE),IFERROR(VLOOKUP(A83,[1]Biogasudbytte!$A$2:$B$18,2,FALSE)*[1]Energiindhold!$C$10,0))*O83</f>
        <v>0</v>
      </c>
      <c r="R83" s="189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5.448227276210317</v>
      </c>
      <c r="S83" s="189">
        <f>IFERROR(VLOOKUP(A83,[1]Biogasudbytte!$A$2:$B$18,2,FALSE)*[1]Energiindhold!$C$10,0)*J83*IFERROR(VLOOKUP(A83,Biogasanlæg!$F$3:$G$8,2,FALSE),1)</f>
        <v>0</v>
      </c>
      <c r="T83" s="190">
        <f t="shared" ref="T83:T84" si="31">R83-S83</f>
        <v>5.448227276210317</v>
      </c>
      <c r="U83" s="188">
        <f>O83*IFERROR(VLOOKUP(A83,[1]Tørstofindhold!A$2:B$24,2,FALSE),0)</f>
        <v>0</v>
      </c>
      <c r="V83" s="189">
        <f>IF(D83=År1,P83,SUM(O83,P83))*IFERROR(VLOOKUP(A83,[1]Tørstofindhold!A$2:B$24,2,FALSE),0)</f>
        <v>0</v>
      </c>
      <c r="W83" s="189">
        <f>J83*IFERROR(VLOOKUP(A83,[1]Tørstofindhold!A$2:B$24,2,FALSE),0)</f>
        <v>0</v>
      </c>
      <c r="X83" s="190">
        <f t="shared" ref="X83:X84" si="32">V83-W83</f>
        <v>0</v>
      </c>
      <c r="Y83" s="170">
        <f t="shared" si="21"/>
        <v>0</v>
      </c>
      <c r="Z83" s="103">
        <f t="shared" si="22"/>
        <v>0</v>
      </c>
    </row>
    <row r="84" spans="1:26" hidden="1" x14ac:dyDescent="0.25">
      <c r="A84" s="191" t="str">
        <f t="shared" si="27"/>
        <v>Pyrolyseolie</v>
      </c>
      <c r="B84" s="191" t="str">
        <f t="shared" si="28"/>
        <v>Pyrolyseprodukter</v>
      </c>
      <c r="C84" s="191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1">
        <f t="shared" si="19"/>
        <v>2030</v>
      </c>
      <c r="E84" s="189" t="s">
        <v>23</v>
      </c>
      <c r="F84" s="192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151991.03671876388</v>
      </c>
      <c r="G84" s="192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9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2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2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2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2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151991.03671876388</v>
      </c>
      <c r="M84" s="156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1">
        <f t="shared" si="29"/>
        <v>0</v>
      </c>
      <c r="O84" s="192">
        <f t="shared" si="20"/>
        <v>0</v>
      </c>
      <c r="P84" s="202">
        <f t="shared" si="30"/>
        <v>151991.03671876388</v>
      </c>
      <c r="Q84" s="189">
        <f>IFERROR(VLOOKUP(A84,[1]Energiindhold!$A$2:$C$11,3,FALSE),IFERROR(VLOOKUP(A84,[1]Biogasudbytte!$A$2:$B$18,2,FALSE)*[1]Energiindhold!$C$10,0))*O84</f>
        <v>0</v>
      </c>
      <c r="R84" s="189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5.0565246615808173</v>
      </c>
      <c r="S84" s="189">
        <f>IFERROR(VLOOKUP(A84,[1]Biogasudbytte!$A$2:$B$18,2,FALSE)*[1]Energiindhold!$C$10,0)*J84*IFERROR(VLOOKUP(A84,Biogasanlæg!$F$3:$G$8,2,FALSE),1)</f>
        <v>0</v>
      </c>
      <c r="T84" s="190">
        <f t="shared" si="31"/>
        <v>5.0565246615808173</v>
      </c>
      <c r="U84" s="188">
        <f>O84*IFERROR(VLOOKUP(A84,[1]Tørstofindhold!A$2:B$24,2,FALSE),0)</f>
        <v>0</v>
      </c>
      <c r="V84" s="189">
        <f>IF(D84=År1,P84,SUM(O84,P84))*IFERROR(VLOOKUP(A84,[1]Tørstofindhold!A$2:B$24,2,FALSE),0)</f>
        <v>0</v>
      </c>
      <c r="W84" s="189">
        <f>J84*IFERROR(VLOOKUP(A84,[1]Tørstofindhold!A$2:B$24,2,FALSE),0)</f>
        <v>0</v>
      </c>
      <c r="X84" s="190">
        <f t="shared" si="32"/>
        <v>0</v>
      </c>
      <c r="Y84" s="170">
        <f t="shared" si="21"/>
        <v>0</v>
      </c>
      <c r="Z84" s="103">
        <f t="shared" si="22"/>
        <v>0</v>
      </c>
    </row>
    <row r="85" spans="1:26" hidden="1" x14ac:dyDescent="0.25">
      <c r="A85" s="191" t="str">
        <f t="shared" ref="A85:A130" si="33">A37</f>
        <v>Råmælk</v>
      </c>
      <c r="B85" s="191" t="str">
        <f t="shared" ref="B85:B130" si="34">IF(B37&lt;&gt;"",B37,"")</f>
        <v/>
      </c>
      <c r="C85" s="191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1">
        <f t="shared" si="19"/>
        <v>2030</v>
      </c>
      <c r="E85" s="189" t="s">
        <v>23</v>
      </c>
      <c r="F85" s="192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3435795.4650117112</v>
      </c>
      <c r="G85" s="192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9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2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2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2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2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6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1">
        <f t="shared" si="23"/>
        <v>3435795.4650117112</v>
      </c>
      <c r="O85" s="192">
        <f t="shared" si="20"/>
        <v>0</v>
      </c>
      <c r="P85" s="202">
        <f t="shared" si="24"/>
        <v>0</v>
      </c>
      <c r="Q85" s="189">
        <f>IFERROR(VLOOKUP(A85,[1]Energiindhold!$A$2:$C$11,3,FALSE),IFERROR(VLOOKUP(A85,[1]Biogasudbytte!$A$2:$B$18,2,FALSE)*[1]Energiindhold!$C$10,0))*O85</f>
        <v>0</v>
      </c>
      <c r="R85" s="189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9">
        <f>IFERROR(VLOOKUP(A85,[1]Biogasudbytte!$A$2:$B$18,2,FALSE)*[1]Energiindhold!$C$10,0)*J85*IFERROR(VLOOKUP(A85,Biogasanlæg!$F$3:$G$8,2,FALSE),1)</f>
        <v>0</v>
      </c>
      <c r="T85" s="190">
        <f t="shared" si="25"/>
        <v>0</v>
      </c>
      <c r="U85" s="188">
        <f>O85*IFERROR(VLOOKUP(A85,[1]Tørstofindhold!A$2:B$24,2,FALSE),0)</f>
        <v>0</v>
      </c>
      <c r="V85" s="189">
        <f>IF(D85=År1,P85,SUM(O85,P85))*IFERROR(VLOOKUP(A85,[1]Tørstofindhold!A$2:B$24,2,FALSE),0)</f>
        <v>0</v>
      </c>
      <c r="W85" s="189">
        <f>J85*IFERROR(VLOOKUP(A85,[1]Tørstofindhold!A$2:B$24,2,FALSE),0)</f>
        <v>0</v>
      </c>
      <c r="X85" s="190">
        <f t="shared" si="26"/>
        <v>0</v>
      </c>
      <c r="Y85" s="170">
        <f t="shared" si="21"/>
        <v>0</v>
      </c>
      <c r="Z85" s="103">
        <f t="shared" si="22"/>
        <v>1</v>
      </c>
    </row>
    <row r="86" spans="1:26" hidden="1" x14ac:dyDescent="0.25">
      <c r="A86" s="191" t="str">
        <f t="shared" si="33"/>
        <v>Raps</v>
      </c>
      <c r="B86" s="191" t="str">
        <f t="shared" si="34"/>
        <v/>
      </c>
      <c r="C86" s="191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1">
        <f t="shared" si="19"/>
        <v>2030</v>
      </c>
      <c r="E86" s="189" t="s">
        <v>23</v>
      </c>
      <c r="F86" s="192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611488.80572798639</v>
      </c>
      <c r="G86" s="192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9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2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2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2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2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6">
        <f>SUMIFS('Forbrug af biomasse'!E:E,'Forbrug af biomasse'!C:C,'Resultat-Produktion &amp; forbrug'!$A86,'Forbrug af biomasse'!D:D,'Resultat-Produktion &amp; forbrug'!$D86,'Forbrug af biomasse'!G:G,1,'Forbrug af biomasse'!B:B,$E86)</f>
        <v>611488.80572798639</v>
      </c>
      <c r="N86" s="201">
        <f t="shared" si="23"/>
        <v>0</v>
      </c>
      <c r="O86" s="192">
        <f t="shared" si="20"/>
        <v>0</v>
      </c>
      <c r="P86" s="202">
        <f t="shared" si="24"/>
        <v>0</v>
      </c>
      <c r="Q86" s="189">
        <f>IFERROR(VLOOKUP(A86,[1]Energiindhold!$A$2:$C$11,3,FALSE),IFERROR(VLOOKUP(A86,[1]Biogasudbytte!$A$2:$B$18,2,FALSE)*[1]Energiindhold!$C$10,0))*O86</f>
        <v>0</v>
      </c>
      <c r="R86" s="189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9">
        <f>IFERROR(VLOOKUP(A86,[1]Biogasudbytte!$A$2:$B$18,2,FALSE)*[1]Energiindhold!$C$10,0)*J86*IFERROR(VLOOKUP(A86,Biogasanlæg!$F$3:$G$8,2,FALSE),1)</f>
        <v>0</v>
      </c>
      <c r="T86" s="190">
        <f t="shared" si="25"/>
        <v>0</v>
      </c>
      <c r="U86" s="188">
        <f>O86*IFERROR(VLOOKUP(A86,[1]Tørstofindhold!A$2:B$24,2,FALSE),0)</f>
        <v>0</v>
      </c>
      <c r="V86" s="189">
        <f>IF(D86=År1,P86,SUM(O86,P86))*IFERROR(VLOOKUP(A86,[1]Tørstofindhold!A$2:B$24,2,FALSE),0)</f>
        <v>0</v>
      </c>
      <c r="W86" s="189">
        <f>J86*IFERROR(VLOOKUP(A86,[1]Tørstofindhold!A$2:B$24,2,FALSE),0)</f>
        <v>0</v>
      </c>
      <c r="X86" s="190">
        <f t="shared" si="26"/>
        <v>0</v>
      </c>
      <c r="Y86" s="170">
        <f t="shared" si="21"/>
        <v>0</v>
      </c>
      <c r="Z86" s="103">
        <f t="shared" si="22"/>
        <v>0</v>
      </c>
    </row>
    <row r="87" spans="1:26" hidden="1" x14ac:dyDescent="0.25">
      <c r="A87" s="191" t="str">
        <f t="shared" si="33"/>
        <v>Rapskage</v>
      </c>
      <c r="B87" s="191" t="str">
        <f t="shared" si="34"/>
        <v/>
      </c>
      <c r="C87" s="191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1">
        <f t="shared" si="19"/>
        <v>2030</v>
      </c>
      <c r="E87" s="189" t="s">
        <v>23</v>
      </c>
      <c r="F87" s="192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305744.40286399319</v>
      </c>
      <c r="G87" s="192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327903.85901311738</v>
      </c>
      <c r="H87" s="189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2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2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2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2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6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1">
        <f t="shared" si="23"/>
        <v>-22159.456149124191</v>
      </c>
      <c r="O87" s="192">
        <f t="shared" si="20"/>
        <v>0</v>
      </c>
      <c r="P87" s="202">
        <f t="shared" si="24"/>
        <v>0</v>
      </c>
      <c r="Q87" s="189">
        <f>IFERROR(VLOOKUP(A87,[1]Energiindhold!$A$2:$C$11,3,FALSE),IFERROR(VLOOKUP(A87,[1]Biogasudbytte!$A$2:$B$18,2,FALSE)*[1]Energiindhold!$C$10,0))*O87</f>
        <v>0</v>
      </c>
      <c r="R87" s="189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9">
        <f>IFERROR(VLOOKUP(A87,[1]Biogasudbytte!$A$2:$B$18,2,FALSE)*[1]Energiindhold!$C$10,0)*J87*IFERROR(VLOOKUP(A87,Biogasanlæg!$F$3:$G$8,2,FALSE),1)</f>
        <v>0</v>
      </c>
      <c r="T87" s="190">
        <f t="shared" si="25"/>
        <v>0</v>
      </c>
      <c r="U87" s="188">
        <f>O87*IFERROR(VLOOKUP(A87,[1]Tørstofindhold!A$2:B$24,2,FALSE),0)</f>
        <v>0</v>
      </c>
      <c r="V87" s="189">
        <f>IF(D87=År1,P87,SUM(O87,P87))*IFERROR(VLOOKUP(A87,[1]Tørstofindhold!A$2:B$24,2,FALSE),0)</f>
        <v>0</v>
      </c>
      <c r="W87" s="189">
        <f>J87*IFERROR(VLOOKUP(A87,[1]Tørstofindhold!A$2:B$24,2,FALSE),0)</f>
        <v>0</v>
      </c>
      <c r="X87" s="190">
        <f t="shared" si="26"/>
        <v>0</v>
      </c>
      <c r="Y87" s="170">
        <f t="shared" si="21"/>
        <v>0</v>
      </c>
      <c r="Z87" s="103">
        <f t="shared" si="22"/>
        <v>1</v>
      </c>
    </row>
    <row r="88" spans="1:26" hidden="1" x14ac:dyDescent="0.25">
      <c r="A88" s="191" t="str">
        <f t="shared" si="33"/>
        <v>Rapsolie</v>
      </c>
      <c r="B88" s="191" t="str">
        <f t="shared" si="34"/>
        <v>Rapsolie</v>
      </c>
      <c r="C88" s="191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1">
        <f t="shared" si="19"/>
        <v>2030</v>
      </c>
      <c r="E88" s="189" t="s">
        <v>23</v>
      </c>
      <c r="F88" s="192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195676.41783295566</v>
      </c>
      <c r="G88" s="192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9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2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2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2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2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195676.41783295566</v>
      </c>
      <c r="M88" s="156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1">
        <f t="shared" si="23"/>
        <v>0</v>
      </c>
      <c r="O88" s="192">
        <f t="shared" si="20"/>
        <v>0</v>
      </c>
      <c r="P88" s="202">
        <f t="shared" si="24"/>
        <v>195676.41783295566</v>
      </c>
      <c r="Q88" s="189">
        <f>IFERROR(VLOOKUP(A88,[1]Energiindhold!$A$2:$C$11,3,FALSE),IFERROR(VLOOKUP(A88,[1]Biogasudbytte!$A$2:$B$18,2,FALSE)*[1]Energiindhold!$C$10,0))*O88</f>
        <v>0</v>
      </c>
      <c r="R88" s="189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6.8486746241534471</v>
      </c>
      <c r="S88" s="189">
        <f>IFERROR(VLOOKUP(A88,[1]Biogasudbytte!$A$2:$B$18,2,FALSE)*[1]Energiindhold!$C$10,0)*J88*IFERROR(VLOOKUP(A88,Biogasanlæg!$F$3:$G$8,2,FALSE),1)</f>
        <v>0</v>
      </c>
      <c r="T88" s="190">
        <f t="shared" si="25"/>
        <v>6.8486746241534471</v>
      </c>
      <c r="U88" s="188">
        <f>O88*IFERROR(VLOOKUP(A88,[1]Tørstofindhold!A$2:B$24,2,FALSE),0)</f>
        <v>0</v>
      </c>
      <c r="V88" s="189">
        <f>IF(D88=År1,P88,SUM(O88,P88))*IFERROR(VLOOKUP(A88,[1]Tørstofindhold!A$2:B$24,2,FALSE),0)</f>
        <v>0</v>
      </c>
      <c r="W88" s="189">
        <f>J88*IFERROR(VLOOKUP(A88,[1]Tørstofindhold!A$2:B$24,2,FALSE),0)</f>
        <v>0</v>
      </c>
      <c r="X88" s="190">
        <f t="shared" si="26"/>
        <v>0</v>
      </c>
      <c r="Y88" s="170">
        <f t="shared" si="21"/>
        <v>0</v>
      </c>
      <c r="Z88" s="103">
        <f t="shared" si="22"/>
        <v>0</v>
      </c>
    </row>
    <row r="89" spans="1:26" hidden="1" x14ac:dyDescent="0.25">
      <c r="A89" s="191" t="str">
        <f t="shared" si="33"/>
        <v>Roer</v>
      </c>
      <c r="B89" s="191" t="str">
        <f t="shared" si="34"/>
        <v>Græs og urter</v>
      </c>
      <c r="C89" s="191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1">
        <f t="shared" si="19"/>
        <v>2030</v>
      </c>
      <c r="E89" s="189" t="s">
        <v>23</v>
      </c>
      <c r="F89" s="192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618312.90012796305</v>
      </c>
      <c r="G89" s="192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657932.41592395958</v>
      </c>
      <c r="H89" s="189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2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2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2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2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6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1">
        <f t="shared" si="23"/>
        <v>-39619.515795996529</v>
      </c>
      <c r="O89" s="192">
        <f t="shared" si="20"/>
        <v>0</v>
      </c>
      <c r="P89" s="202">
        <f t="shared" si="24"/>
        <v>0</v>
      </c>
      <c r="Q89" s="189">
        <f>IFERROR(VLOOKUP(A89,[1]Energiindhold!$A$2:$C$11,3,FALSE),IFERROR(VLOOKUP(A89,[1]Biogasudbytte!$A$2:$B$18,2,FALSE)*[1]Energiindhold!$C$10,0))*O89</f>
        <v>0</v>
      </c>
      <c r="R89" s="189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89">
        <f>IFERROR(VLOOKUP(A89,[1]Biogasudbytte!$A$2:$B$18,2,FALSE)*[1]Energiindhold!$C$10,0)*J89*IFERROR(VLOOKUP(A89,Biogasanlæg!$F$3:$G$8,2,FALSE),1)</f>
        <v>0</v>
      </c>
      <c r="T89" s="190">
        <f t="shared" si="25"/>
        <v>0</v>
      </c>
      <c r="U89" s="188">
        <f>O89*IFERROR(VLOOKUP(A89,[1]Tørstofindhold!A$2:B$24,2,FALSE),0)</f>
        <v>0</v>
      </c>
      <c r="V89" s="189">
        <f>IF(D89=År1,P89,SUM(O89,P89))*IFERROR(VLOOKUP(A89,[1]Tørstofindhold!A$2:B$24,2,FALSE),0)</f>
        <v>0</v>
      </c>
      <c r="W89" s="189">
        <f>J89*IFERROR(VLOOKUP(A89,[1]Tørstofindhold!A$2:B$24,2,FALSE),0)</f>
        <v>0</v>
      </c>
      <c r="X89" s="190">
        <f t="shared" si="26"/>
        <v>0</v>
      </c>
      <c r="Y89" s="170">
        <f t="shared" si="21"/>
        <v>0</v>
      </c>
      <c r="Z89" s="103">
        <f t="shared" si="22"/>
        <v>1</v>
      </c>
    </row>
    <row r="90" spans="1:26" hidden="1" x14ac:dyDescent="0.25">
      <c r="A90" s="191" t="str">
        <f t="shared" si="33"/>
        <v>Slagteriaffald til andet</v>
      </c>
      <c r="B90" s="191" t="str">
        <f t="shared" si="34"/>
        <v/>
      </c>
      <c r="C90" s="191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1">
        <f t="shared" si="19"/>
        <v>2030</v>
      </c>
      <c r="E90" s="189" t="s">
        <v>23</v>
      </c>
      <c r="F90" s="192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123110.59014042643</v>
      </c>
      <c r="G90" s="192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9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2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2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2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2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6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1">
        <f t="shared" si="23"/>
        <v>123110.59014042643</v>
      </c>
      <c r="O90" s="192">
        <f t="shared" si="20"/>
        <v>0</v>
      </c>
      <c r="P90" s="202">
        <f t="shared" si="24"/>
        <v>0</v>
      </c>
      <c r="Q90" s="189">
        <f>IFERROR(VLOOKUP(A90,[1]Energiindhold!$A$2:$C$11,3,FALSE),IFERROR(VLOOKUP(A90,[1]Biogasudbytte!$A$2:$B$18,2,FALSE)*[1]Energiindhold!$C$10,0))*O90</f>
        <v>0</v>
      </c>
      <c r="R90" s="189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9">
        <f>IFERROR(VLOOKUP(A90,[1]Biogasudbytte!$A$2:$B$18,2,FALSE)*[1]Energiindhold!$C$10,0)*J90*IFERROR(VLOOKUP(A90,Biogasanlæg!$F$3:$G$8,2,FALSE),1)</f>
        <v>0</v>
      </c>
      <c r="T90" s="190">
        <f t="shared" si="25"/>
        <v>0</v>
      </c>
      <c r="U90" s="188">
        <f>O90*IFERROR(VLOOKUP(A90,[1]Tørstofindhold!A$2:B$24,2,FALSE),0)</f>
        <v>0</v>
      </c>
      <c r="V90" s="189">
        <f>IF(D90=År1,P90,SUM(O90,P90))*IFERROR(VLOOKUP(A90,[1]Tørstofindhold!A$2:B$24,2,FALSE),0)</f>
        <v>0</v>
      </c>
      <c r="W90" s="189">
        <f>J90*IFERROR(VLOOKUP(A90,[1]Tørstofindhold!A$2:B$24,2,FALSE),0)</f>
        <v>0</v>
      </c>
      <c r="X90" s="190">
        <f t="shared" si="26"/>
        <v>0</v>
      </c>
      <c r="Y90" s="170">
        <f t="shared" si="21"/>
        <v>0</v>
      </c>
      <c r="Z90" s="103">
        <f t="shared" si="22"/>
        <v>1</v>
      </c>
    </row>
    <row r="91" spans="1:26" hidden="1" x14ac:dyDescent="0.25">
      <c r="A91" s="191" t="str">
        <f t="shared" si="33"/>
        <v>Slagteriaffald til foder</v>
      </c>
      <c r="B91" s="191" t="str">
        <f t="shared" si="34"/>
        <v/>
      </c>
      <c r="C91" s="191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1">
        <f t="shared" si="19"/>
        <v>2030</v>
      </c>
      <c r="E91" s="189" t="s">
        <v>23</v>
      </c>
      <c r="F91" s="192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81653.889040476832</v>
      </c>
      <c r="G91" s="192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29148.017574479996</v>
      </c>
      <c r="H91" s="189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2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2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2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2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6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1">
        <f t="shared" si="23"/>
        <v>52505.871465996839</v>
      </c>
      <c r="O91" s="192">
        <f t="shared" si="20"/>
        <v>0</v>
      </c>
      <c r="P91" s="202">
        <f t="shared" si="24"/>
        <v>0</v>
      </c>
      <c r="Q91" s="189">
        <f>IFERROR(VLOOKUP(A91,[1]Energiindhold!$A$2:$C$11,3,FALSE),IFERROR(VLOOKUP(A91,[1]Biogasudbytte!$A$2:$B$18,2,FALSE)*[1]Energiindhold!$C$10,0))*O91</f>
        <v>0</v>
      </c>
      <c r="R91" s="189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9">
        <f>IFERROR(VLOOKUP(A91,[1]Biogasudbytte!$A$2:$B$18,2,FALSE)*[1]Energiindhold!$C$10,0)*J91*IFERROR(VLOOKUP(A91,Biogasanlæg!$F$3:$G$8,2,FALSE),1)</f>
        <v>0</v>
      </c>
      <c r="T91" s="190">
        <f t="shared" si="25"/>
        <v>0</v>
      </c>
      <c r="U91" s="188">
        <f>O91*IFERROR(VLOOKUP(A91,[1]Tørstofindhold!A$2:B$24,2,FALSE),0)</f>
        <v>0</v>
      </c>
      <c r="V91" s="189">
        <f>IF(D91=År1,P91,SUM(O91,P91))*IFERROR(VLOOKUP(A91,[1]Tørstofindhold!A$2:B$24,2,FALSE),0)</f>
        <v>0</v>
      </c>
      <c r="W91" s="189">
        <f>J91*IFERROR(VLOOKUP(A91,[1]Tørstofindhold!A$2:B$24,2,FALSE),0)</f>
        <v>0</v>
      </c>
      <c r="X91" s="190">
        <f t="shared" si="26"/>
        <v>0</v>
      </c>
      <c r="Y91" s="170">
        <f t="shared" si="21"/>
        <v>0</v>
      </c>
      <c r="Z91" s="103">
        <f t="shared" si="22"/>
        <v>1</v>
      </c>
    </row>
    <row r="92" spans="1:26" hidden="1" x14ac:dyDescent="0.25">
      <c r="A92" s="191" t="str">
        <f t="shared" si="33"/>
        <v>Spildevandsslam</v>
      </c>
      <c r="B92" s="191" t="str">
        <f t="shared" si="34"/>
        <v>Bionedbrydeligt affald</v>
      </c>
      <c r="C92" s="191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1">
        <f t="shared" si="19"/>
        <v>2030</v>
      </c>
      <c r="E92" s="189" t="s">
        <v>23</v>
      </c>
      <c r="F92" s="192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3938045.0957457959</v>
      </c>
      <c r="G92" s="192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9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2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2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2559729.3122347672</v>
      </c>
      <c r="K92" s="192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2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6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1">
        <f t="shared" si="23"/>
        <v>1378315.7835110286</v>
      </c>
      <c r="O92" s="192">
        <f t="shared" si="20"/>
        <v>1378315.7835110286</v>
      </c>
      <c r="P92" s="202">
        <f t="shared" si="24"/>
        <v>2559729.3122347672</v>
      </c>
      <c r="Q92" s="189">
        <f>IFERROR(VLOOKUP(A92,[1]Energiindhold!$A$2:$C$11,3,FALSE),IFERROR(VLOOKUP(A92,[1]Biogasudbytte!$A$2:$B$18,2,FALSE)*[1]Energiindhold!$C$10,0))*O92</f>
        <v>0.68779335912983852</v>
      </c>
      <c r="R92" s="189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1.9651238832281099</v>
      </c>
      <c r="S92" s="189">
        <f>IFERROR(VLOOKUP(A92,[1]Biogasudbytte!$A$2:$B$18,2,FALSE)*[1]Energiindhold!$C$10,0)*J92*IFERROR(VLOOKUP(A92,Biogasanlæg!$F$3:$G$8,2,FALSE),1)</f>
        <v>1.2773305240982713</v>
      </c>
      <c r="T92" s="190">
        <f t="shared" si="25"/>
        <v>0.68779335912983863</v>
      </c>
      <c r="U92" s="188">
        <f>O92*IFERROR(VLOOKUP(A92,[1]Tørstofindhold!A$2:B$24,2,FALSE),0)</f>
        <v>82698.947010661708</v>
      </c>
      <c r="V92" s="189">
        <f>IF(D92=År1,P92,SUM(O92,P92))*IFERROR(VLOOKUP(A92,[1]Tørstofindhold!A$2:B$24,2,FALSE),0)</f>
        <v>236282.70574474774</v>
      </c>
      <c r="W92" s="189">
        <f>J92*IFERROR(VLOOKUP(A92,[1]Tørstofindhold!A$2:B$24,2,FALSE),0)</f>
        <v>153583.75873408603</v>
      </c>
      <c r="X92" s="190">
        <f t="shared" si="26"/>
        <v>82698.947010661708</v>
      </c>
      <c r="Y92" s="170">
        <f t="shared" si="21"/>
        <v>0</v>
      </c>
      <c r="Z92" s="103">
        <f t="shared" si="22"/>
        <v>1</v>
      </c>
    </row>
    <row r="93" spans="1:26" hidden="1" x14ac:dyDescent="0.25">
      <c r="A93" s="191" t="str">
        <f t="shared" si="33"/>
        <v>Svinegylle</v>
      </c>
      <c r="B93" s="191" t="str">
        <f t="shared" si="34"/>
        <v>Husdyrgødning</v>
      </c>
      <c r="C93" s="191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1">
        <f t="shared" si="19"/>
        <v>2030</v>
      </c>
      <c r="E93" s="189" t="s">
        <v>23</v>
      </c>
      <c r="F93" s="192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8433355.9839573242</v>
      </c>
      <c r="G93" s="192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9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2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2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5481681.3895722609</v>
      </c>
      <c r="K93" s="192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2951674.5943850633</v>
      </c>
      <c r="L93" s="192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6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1">
        <f t="shared" si="23"/>
        <v>0</v>
      </c>
      <c r="O93" s="192">
        <f t="shared" si="20"/>
        <v>0</v>
      </c>
      <c r="P93" s="202">
        <f t="shared" si="24"/>
        <v>5481681.3895722609</v>
      </c>
      <c r="Q93" s="189">
        <f>IFERROR(VLOOKUP(A93,[1]Energiindhold!$A$2:$C$11,3,FALSE),IFERROR(VLOOKUP(A93,[1]Biogasudbytte!$A$2:$B$18,2,FALSE)*[1]Energiindhold!$C$10,0))*O93</f>
        <v>0</v>
      </c>
      <c r="R93" s="189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2.3615083426277304</v>
      </c>
      <c r="S93" s="189">
        <f>IFERROR(VLOOKUP(A93,[1]Biogasudbytte!$A$2:$B$18,2,FALSE)*[1]Energiindhold!$C$10,0)*J93*IFERROR(VLOOKUP(A93,Biogasanlæg!$F$3:$G$8,2,FALSE),1)</f>
        <v>2.3615083426277304</v>
      </c>
      <c r="T93" s="190">
        <f t="shared" si="25"/>
        <v>0</v>
      </c>
      <c r="U93" s="188">
        <f>O93*IFERROR(VLOOKUP(A93,[1]Tørstofindhold!A$2:B$24,2,FALSE),0)</f>
        <v>0</v>
      </c>
      <c r="V93" s="189">
        <f>IF(D93=År1,P93,SUM(O93,P93))*IFERROR(VLOOKUP(A93,[1]Tørstofindhold!A$2:B$24,2,FALSE),0)</f>
        <v>274084.06947861303</v>
      </c>
      <c r="W93" s="189">
        <f>J93*IFERROR(VLOOKUP(A93,[1]Tørstofindhold!A$2:B$24,2,FALSE),0)</f>
        <v>274084.06947861303</v>
      </c>
      <c r="X93" s="190">
        <f t="shared" si="26"/>
        <v>0</v>
      </c>
      <c r="Y93" s="170">
        <f t="shared" si="21"/>
        <v>0</v>
      </c>
      <c r="Z93" s="103">
        <f t="shared" si="22"/>
        <v>0</v>
      </c>
    </row>
    <row r="94" spans="1:26" hidden="1" x14ac:dyDescent="0.25">
      <c r="A94" s="191" t="str">
        <f t="shared" si="33"/>
        <v>Svinekød</v>
      </c>
      <c r="B94" s="191" t="str">
        <f t="shared" si="34"/>
        <v/>
      </c>
      <c r="C94" s="191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1">
        <f t="shared" si="19"/>
        <v>2030</v>
      </c>
      <c r="E94" s="189" t="s">
        <v>23</v>
      </c>
      <c r="F94" s="192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864230.08073603199</v>
      </c>
      <c r="G94" s="192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9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2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2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2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2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6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1">
        <f t="shared" si="23"/>
        <v>766729.64549708774</v>
      </c>
      <c r="O94" s="192">
        <f t="shared" si="20"/>
        <v>0</v>
      </c>
      <c r="P94" s="202">
        <f t="shared" si="24"/>
        <v>0</v>
      </c>
      <c r="Q94" s="189">
        <f>IFERROR(VLOOKUP(A94,[1]Energiindhold!$A$2:$C$11,3,FALSE),IFERROR(VLOOKUP(A94,[1]Biogasudbytte!$A$2:$B$18,2,FALSE)*[1]Energiindhold!$C$10,0))*O94</f>
        <v>0</v>
      </c>
      <c r="R94" s="189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9">
        <f>IFERROR(VLOOKUP(A94,[1]Biogasudbytte!$A$2:$B$18,2,FALSE)*[1]Energiindhold!$C$10,0)*J94*IFERROR(VLOOKUP(A94,Biogasanlæg!$F$3:$G$8,2,FALSE),1)</f>
        <v>0</v>
      </c>
      <c r="T94" s="190">
        <f t="shared" si="25"/>
        <v>0</v>
      </c>
      <c r="U94" s="188">
        <f>O94*IFERROR(VLOOKUP(A94,[1]Tørstofindhold!A$2:B$24,2,FALSE),0)</f>
        <v>0</v>
      </c>
      <c r="V94" s="189">
        <f>IF(D94=År1,P94,SUM(O94,P94))*IFERROR(VLOOKUP(A94,[1]Tørstofindhold!A$2:B$24,2,FALSE),0)</f>
        <v>0</v>
      </c>
      <c r="W94" s="189">
        <f>J94*IFERROR(VLOOKUP(A94,[1]Tørstofindhold!A$2:B$24,2,FALSE),0)</f>
        <v>0</v>
      </c>
      <c r="X94" s="190">
        <f t="shared" si="26"/>
        <v>0</v>
      </c>
      <c r="Y94" s="170">
        <f t="shared" si="21"/>
        <v>0</v>
      </c>
      <c r="Z94" s="103">
        <f t="shared" si="22"/>
        <v>1</v>
      </c>
    </row>
    <row r="95" spans="1:26" hidden="1" x14ac:dyDescent="0.25">
      <c r="A95" s="191" t="str">
        <f t="shared" si="33"/>
        <v>Tang</v>
      </c>
      <c r="B95" s="191" t="str">
        <f t="shared" si="34"/>
        <v>Havbiomasse</v>
      </c>
      <c r="C95" s="191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1">
        <f t="shared" si="19"/>
        <v>2030</v>
      </c>
      <c r="E95" s="189" t="s">
        <v>23</v>
      </c>
      <c r="F95" s="192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1350</v>
      </c>
      <c r="G95" s="192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9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2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2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2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2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6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1">
        <f t="shared" si="23"/>
        <v>1350</v>
      </c>
      <c r="O95" s="192">
        <f t="shared" si="20"/>
        <v>1350</v>
      </c>
      <c r="P95" s="202">
        <f t="shared" si="24"/>
        <v>0</v>
      </c>
      <c r="Q95" s="189">
        <f>IFERROR(VLOOKUP(A95,[1]Energiindhold!$A$2:$C$11,3,FALSE),IFERROR(VLOOKUP(A95,[1]Biogasudbytte!$A$2:$B$18,2,FALSE)*[1]Energiindhold!$C$10,0))*O95</f>
        <v>1.211625E-3</v>
      </c>
      <c r="R95" s="189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1.211625E-3</v>
      </c>
      <c r="S95" s="189">
        <f>IFERROR(VLOOKUP(A95,[1]Biogasudbytte!$A$2:$B$18,2,FALSE)*[1]Energiindhold!$C$10,0)*J95*IFERROR(VLOOKUP(A95,Biogasanlæg!$F$3:$G$8,2,FALSE),1)</f>
        <v>0</v>
      </c>
      <c r="T95" s="190">
        <f t="shared" si="25"/>
        <v>1.211625E-3</v>
      </c>
      <c r="U95" s="188">
        <f>O95*IFERROR(VLOOKUP(A95,[1]Tørstofindhold!A$2:B$24,2,FALSE),0)</f>
        <v>202.5</v>
      </c>
      <c r="V95" s="189">
        <f>IF(D95=År1,P95,SUM(O95,P95))*IFERROR(VLOOKUP(A95,[1]Tørstofindhold!A$2:B$24,2,FALSE),0)</f>
        <v>202.5</v>
      </c>
      <c r="W95" s="189">
        <f>J95*IFERROR(VLOOKUP(A95,[1]Tørstofindhold!A$2:B$24,2,FALSE),0)</f>
        <v>0</v>
      </c>
      <c r="X95" s="190">
        <f t="shared" si="26"/>
        <v>202.5</v>
      </c>
      <c r="Y95" s="170">
        <f t="shared" si="21"/>
        <v>0</v>
      </c>
      <c r="Z95" s="103">
        <f t="shared" si="22"/>
        <v>1</v>
      </c>
    </row>
    <row r="96" spans="1:26" hidden="1" x14ac:dyDescent="0.25">
      <c r="A96" s="191" t="str">
        <f t="shared" si="33"/>
        <v>Total til biogas</v>
      </c>
      <c r="B96" s="191" t="str">
        <f t="shared" si="34"/>
        <v/>
      </c>
      <c r="C96" s="191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1">
        <f t="shared" si="19"/>
        <v>2030</v>
      </c>
      <c r="E96" s="189" t="s">
        <v>23</v>
      </c>
      <c r="F96" s="192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2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9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2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2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2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2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6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1">
        <f t="shared" si="23"/>
        <v>0</v>
      </c>
      <c r="O96" s="192">
        <f t="shared" si="20"/>
        <v>0</v>
      </c>
      <c r="P96" s="202">
        <f t="shared" si="24"/>
        <v>0</v>
      </c>
      <c r="Q96" s="189">
        <f>IFERROR(VLOOKUP(A96,[1]Energiindhold!$A$2:$C$11,3,FALSE),IFERROR(VLOOKUP(A96,[1]Biogasudbytte!$A$2:$B$18,2,FALSE)*[1]Energiindhold!$C$10,0))*O96</f>
        <v>0</v>
      </c>
      <c r="R96" s="189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9">
        <f>IFERROR(VLOOKUP(A96,[1]Biogasudbytte!$A$2:$B$18,2,FALSE)*[1]Energiindhold!$C$10,0)*J96*IFERROR(VLOOKUP(A96,Biogasanlæg!$F$3:$G$8,2,FALSE),1)</f>
        <v>0</v>
      </c>
      <c r="T96" s="190">
        <f t="shared" si="25"/>
        <v>0</v>
      </c>
      <c r="U96" s="188">
        <f>O96*IFERROR(VLOOKUP(A96,[1]Tørstofindhold!A$2:B$24,2,FALSE),0)</f>
        <v>0</v>
      </c>
      <c r="V96" s="189">
        <f>IF(D96=År1,P96,SUM(O96,P96))*IFERROR(VLOOKUP(A96,[1]Tørstofindhold!A$2:B$24,2,FALSE),0)</f>
        <v>0</v>
      </c>
      <c r="W96" s="189">
        <f>J96*IFERROR(VLOOKUP(A96,[1]Tørstofindhold!A$2:B$24,2,FALSE),0)</f>
        <v>0</v>
      </c>
      <c r="X96" s="190">
        <f t="shared" si="26"/>
        <v>0</v>
      </c>
      <c r="Y96" s="170">
        <f t="shared" si="21"/>
        <v>0</v>
      </c>
      <c r="Z96" s="103">
        <f t="shared" si="22"/>
        <v>0</v>
      </c>
    </row>
    <row r="97" spans="1:26" hidden="1" x14ac:dyDescent="0.25">
      <c r="A97" s="191" t="str">
        <f t="shared" si="33"/>
        <v>Træ til energi</v>
      </c>
      <c r="B97" s="191" t="str">
        <f t="shared" si="34"/>
        <v>Vedmasse</v>
      </c>
      <c r="C97" s="191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1">
        <f t="shared" si="19"/>
        <v>2030</v>
      </c>
      <c r="E97" s="189" t="s">
        <v>23</v>
      </c>
      <c r="F97" s="192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2226876.9610476061</v>
      </c>
      <c r="G97" s="192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9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2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2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2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2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2226876.9610476061</v>
      </c>
      <c r="M97" s="156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1">
        <f t="shared" si="23"/>
        <v>0</v>
      </c>
      <c r="O97" s="192">
        <f t="shared" si="20"/>
        <v>0</v>
      </c>
      <c r="P97" s="202">
        <f t="shared" si="24"/>
        <v>2226876.9610476061</v>
      </c>
      <c r="Q97" s="189">
        <f>IFERROR(VLOOKUP(A97,[1]Energiindhold!$A$2:$C$11,3,FALSE),IFERROR(VLOOKUP(A97,[1]Biogasudbytte!$A$2:$B$18,2,FALSE)*[1]Energiindhold!$C$10,0))*O97</f>
        <v>0</v>
      </c>
      <c r="R97" s="189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32.275394668492638</v>
      </c>
      <c r="S97" s="189">
        <f>IFERROR(VLOOKUP(A97,[1]Biogasudbytte!$A$2:$B$18,2,FALSE)*[1]Energiindhold!$C$10,0)*J97*IFERROR(VLOOKUP(A97,Biogasanlæg!$F$3:$G$8,2,FALSE),1)</f>
        <v>0</v>
      </c>
      <c r="T97" s="190">
        <f t="shared" si="25"/>
        <v>32.275394668492638</v>
      </c>
      <c r="U97" s="188">
        <f>O97*IFERROR(VLOOKUP(A97,[1]Tørstofindhold!A$2:B$24,2,FALSE),0)</f>
        <v>0</v>
      </c>
      <c r="V97" s="189">
        <f>IF(D97=År1,P97,SUM(O97,P97))*IFERROR(VLOOKUP(A97,[1]Tørstofindhold!A$2:B$24,2,FALSE),0)</f>
        <v>1101376.2303181284</v>
      </c>
      <c r="W97" s="189">
        <f>J97*IFERROR(VLOOKUP(A97,[1]Tørstofindhold!A$2:B$24,2,FALSE),0)</f>
        <v>0</v>
      </c>
      <c r="X97" s="190">
        <f t="shared" si="26"/>
        <v>1101376.2303181284</v>
      </c>
      <c r="Y97" s="170">
        <f t="shared" si="21"/>
        <v>0</v>
      </c>
      <c r="Z97" s="103">
        <f t="shared" si="22"/>
        <v>0</v>
      </c>
    </row>
    <row r="98" spans="1:26" hidden="1" x14ac:dyDescent="0.25">
      <c r="A98" s="191" t="str">
        <f t="shared" si="33"/>
        <v>Træmaterialer</v>
      </c>
      <c r="B98" s="191" t="str">
        <f t="shared" si="34"/>
        <v/>
      </c>
      <c r="C98" s="191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1">
        <f t="shared" si="19"/>
        <v>2030</v>
      </c>
      <c r="E98" s="189" t="s">
        <v>23</v>
      </c>
      <c r="F98" s="192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613716.58108207851</v>
      </c>
      <c r="G98" s="192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9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2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2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2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2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6">
        <f>SUMIFS('Forbrug af biomasse'!E:E,'Forbrug af biomasse'!C:C,'Resultat-Produktion &amp; forbrug'!$A98,'Forbrug af biomasse'!D:D,'Resultat-Produktion &amp; forbrug'!$D98,'Forbrug af biomasse'!G:G,1,'Forbrug af biomasse'!B:B,$E98)</f>
        <v>613716.58108207851</v>
      </c>
      <c r="N98" s="201">
        <f t="shared" si="23"/>
        <v>0</v>
      </c>
      <c r="O98" s="192">
        <f t="shared" si="20"/>
        <v>0</v>
      </c>
      <c r="P98" s="202">
        <f t="shared" si="24"/>
        <v>0</v>
      </c>
      <c r="Q98" s="189">
        <f>IFERROR(VLOOKUP(A98,[1]Energiindhold!$A$2:$C$11,3,FALSE),IFERROR(VLOOKUP(A98,[1]Biogasudbytte!$A$2:$B$18,2,FALSE)*[1]Energiindhold!$C$10,0))*O98</f>
        <v>0</v>
      </c>
      <c r="R98" s="189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9">
        <f>IFERROR(VLOOKUP(A98,[1]Biogasudbytte!$A$2:$B$18,2,FALSE)*[1]Energiindhold!$C$10,0)*J98*IFERROR(VLOOKUP(A98,Biogasanlæg!$F$3:$G$8,2,FALSE),1)</f>
        <v>0</v>
      </c>
      <c r="T98" s="190">
        <f t="shared" si="25"/>
        <v>0</v>
      </c>
      <c r="U98" s="188">
        <f>O98*IFERROR(VLOOKUP(A98,[1]Tørstofindhold!A$2:B$24,2,FALSE),0)</f>
        <v>0</v>
      </c>
      <c r="V98" s="189">
        <f>IF(D98=År1,P98,SUM(O98,P98))*IFERROR(VLOOKUP(A98,[1]Tørstofindhold!A$2:B$24,2,FALSE),0)</f>
        <v>0</v>
      </c>
      <c r="W98" s="189">
        <f>J98*IFERROR(VLOOKUP(A98,[1]Tørstofindhold!A$2:B$24,2,FALSE),0)</f>
        <v>0</v>
      </c>
      <c r="X98" s="190">
        <f t="shared" si="26"/>
        <v>0</v>
      </c>
      <c r="Y98" s="170">
        <f t="shared" si="21"/>
        <v>0</v>
      </c>
      <c r="Z98" s="103">
        <f t="shared" si="22"/>
        <v>0</v>
      </c>
    </row>
    <row r="99" spans="1:26" hidden="1" x14ac:dyDescent="0.25">
      <c r="A99" s="191" t="str">
        <f t="shared" si="33"/>
        <v>Æg</v>
      </c>
      <c r="B99" s="191" t="str">
        <f t="shared" si="34"/>
        <v/>
      </c>
      <c r="C99" s="191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1">
        <f t="shared" ref="D99:D146" si="35">År3</f>
        <v>2050</v>
      </c>
      <c r="E99" s="189" t="s">
        <v>23</v>
      </c>
      <c r="F99" s="192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166980.58679378763</v>
      </c>
      <c r="G99" s="192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9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2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2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2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2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6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1">
        <f t="shared" si="23"/>
        <v>133130.61790734282</v>
      </c>
      <c r="O99" s="192">
        <f t="shared" si="20"/>
        <v>0</v>
      </c>
      <c r="P99" s="202">
        <f t="shared" si="24"/>
        <v>0</v>
      </c>
      <c r="Q99" s="189">
        <f>IFERROR(VLOOKUP(A99,[1]Energiindhold!$A$2:$C$11,3,FALSE),IFERROR(VLOOKUP(A99,[1]Biogasudbytte!$A$2:$B$18,2,FALSE)*[1]Energiindhold!$C$10,0))*O99</f>
        <v>0</v>
      </c>
      <c r="R99" s="189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9">
        <f>IFERROR(VLOOKUP(A99,[1]Biogasudbytte!$A$2:$B$18,2,FALSE)*[1]Energiindhold!$C$10,0)*J99*IFERROR(VLOOKUP(A99,Biogasanlæg!$F$3:$G$8,2,FALSE),1)</f>
        <v>0</v>
      </c>
      <c r="T99" s="190">
        <f t="shared" si="25"/>
        <v>0</v>
      </c>
      <c r="U99" s="188">
        <f>O99*IFERROR(VLOOKUP(A99,[1]Tørstofindhold!A$2:B$24,2,FALSE),0)</f>
        <v>0</v>
      </c>
      <c r="V99" s="189">
        <f>IF(D99=År1,P99,SUM(O99,P99))*IFERROR(VLOOKUP(A99,[1]Tørstofindhold!A$2:B$24,2,FALSE),0)</f>
        <v>0</v>
      </c>
      <c r="W99" s="189">
        <f>J99*IFERROR(VLOOKUP(A99,[1]Tørstofindhold!A$2:B$24,2,FALSE),0)</f>
        <v>0</v>
      </c>
      <c r="X99" s="190">
        <f t="shared" si="26"/>
        <v>0</v>
      </c>
      <c r="Y99" s="170">
        <f t="shared" si="21"/>
        <v>0</v>
      </c>
      <c r="Z99" s="103">
        <f t="shared" si="22"/>
        <v>1</v>
      </c>
    </row>
    <row r="100" spans="1:26" hidden="1" x14ac:dyDescent="0.25">
      <c r="A100" s="191" t="str">
        <f t="shared" si="33"/>
        <v>Bælgsæd</v>
      </c>
      <c r="B100" s="191" t="str">
        <f t="shared" si="34"/>
        <v/>
      </c>
      <c r="C100" s="191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1">
        <f t="shared" si="35"/>
        <v>2050</v>
      </c>
      <c r="E100" s="189" t="s">
        <v>23</v>
      </c>
      <c r="F100" s="192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512449.0981881597</v>
      </c>
      <c r="G100" s="192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0</v>
      </c>
      <c r="H100" s="189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2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112833.22962148272</v>
      </c>
      <c r="J100" s="192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2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2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6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1">
        <f t="shared" si="23"/>
        <v>399615.86856667697</v>
      </c>
      <c r="O100" s="192">
        <f t="shared" si="20"/>
        <v>0</v>
      </c>
      <c r="P100" s="202">
        <f t="shared" si="24"/>
        <v>0</v>
      </c>
      <c r="Q100" s="189">
        <f>IFERROR(VLOOKUP(A100,[1]Energiindhold!$A$2:$C$11,3,FALSE),IFERROR(VLOOKUP(A100,[1]Biogasudbytte!$A$2:$B$18,2,FALSE)*[1]Energiindhold!$C$10,0))*O100</f>
        <v>0</v>
      </c>
      <c r="R100" s="189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9">
        <f>IFERROR(VLOOKUP(A100,[1]Biogasudbytte!$A$2:$B$18,2,FALSE)*[1]Energiindhold!$C$10,0)*J100*IFERROR(VLOOKUP(A100,Biogasanlæg!$F$3:$G$8,2,FALSE),1)</f>
        <v>0</v>
      </c>
      <c r="T100" s="190">
        <f t="shared" si="25"/>
        <v>0</v>
      </c>
      <c r="U100" s="188">
        <f>O100*IFERROR(VLOOKUP(A100,[1]Tørstofindhold!A$2:B$24,2,FALSE),0)</f>
        <v>0</v>
      </c>
      <c r="V100" s="189">
        <f>IF(D100=År1,P100,SUM(O100,P100))*IFERROR(VLOOKUP(A100,[1]Tørstofindhold!A$2:B$24,2,FALSE),0)</f>
        <v>0</v>
      </c>
      <c r="W100" s="189">
        <f>J100*IFERROR(VLOOKUP(A100,[1]Tørstofindhold!A$2:B$24,2,FALSE),0)</f>
        <v>0</v>
      </c>
      <c r="X100" s="190">
        <f t="shared" si="26"/>
        <v>0</v>
      </c>
      <c r="Y100" s="170">
        <f t="shared" si="21"/>
        <v>0</v>
      </c>
      <c r="Z100" s="103">
        <f t="shared" si="22"/>
        <v>1</v>
      </c>
    </row>
    <row r="101" spans="1:26" hidden="1" x14ac:dyDescent="0.25">
      <c r="A101" s="191" t="str">
        <f t="shared" si="33"/>
        <v>Bioaffald</v>
      </c>
      <c r="B101" s="191" t="str">
        <f t="shared" si="34"/>
        <v>Bionedbrydeligt affald</v>
      </c>
      <c r="C101" s="191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1">
        <f t="shared" si="35"/>
        <v>2050</v>
      </c>
      <c r="E101" s="189" t="s">
        <v>23</v>
      </c>
      <c r="F101" s="192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209913.46379772766</v>
      </c>
      <c r="G101" s="192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9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2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2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2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2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12429.230254746712</v>
      </c>
      <c r="M101" s="156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1">
        <f t="shared" ca="1" si="23"/>
        <v>0</v>
      </c>
      <c r="O101" s="192">
        <f t="shared" ca="1" si="20"/>
        <v>0</v>
      </c>
      <c r="P101" s="202">
        <f t="shared" ca="1" si="24"/>
        <v>209913.46379772766</v>
      </c>
      <c r="Q101" s="189">
        <f ca="1">IFERROR(VLOOKUP(A101,[1]Energiindhold!$A$2:$C$11,3,FALSE),IFERROR(VLOOKUP(A101,[1]Biogasudbytte!$A$2:$B$18,2,FALSE)*[1]Energiindhold!$C$10,0))*O101</f>
        <v>0</v>
      </c>
      <c r="R101" s="189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0.89470036950988652</v>
      </c>
      <c r="S101" s="189">
        <f ca="1">IFERROR(VLOOKUP(A101,[1]Biogasudbytte!$A$2:$B$18,2,FALSE)*[1]Energiindhold!$C$10,0)*J101*IFERROR(VLOOKUP(A101,Biogasanlæg!$F$3:$G$8,2,FALSE),1)</f>
        <v>0.67281101009991739</v>
      </c>
      <c r="T101" s="190">
        <f t="shared" ca="1" si="25"/>
        <v>0.22188935940996912</v>
      </c>
      <c r="U101" s="188">
        <f ca="1">O101*IFERROR(VLOOKUP(A101,[1]Tørstofindhold!A$2:B$24,2,FALSE),0)</f>
        <v>0</v>
      </c>
      <c r="V101" s="189">
        <f ca="1">IF(D101=År1,P101,SUM(O101,P101))*IFERROR(VLOOKUP(A101,[1]Tørstofindhold!A$2:B$24,2,FALSE),0)</f>
        <v>58775.769863363748</v>
      </c>
      <c r="W101" s="189">
        <f ca="1">J101*IFERROR(VLOOKUP(A101,[1]Tørstofindhold!A$2:B$24,2,FALSE),0)</f>
        <v>55295.585392034671</v>
      </c>
      <c r="X101" s="190">
        <f t="shared" ca="1" si="26"/>
        <v>3480.1844713290775</v>
      </c>
      <c r="Y101" s="170">
        <f t="shared" ca="1" si="21"/>
        <v>0</v>
      </c>
      <c r="Z101" s="103">
        <f t="shared" ca="1" si="22"/>
        <v>0</v>
      </c>
    </row>
    <row r="102" spans="1:26" hidden="1" x14ac:dyDescent="0.25">
      <c r="A102" s="191" t="str">
        <f t="shared" si="33"/>
        <v>Biogas</v>
      </c>
      <c r="B102" s="191" t="str">
        <f t="shared" si="34"/>
        <v/>
      </c>
      <c r="C102" s="191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1">
        <f t="shared" si="35"/>
        <v>2050</v>
      </c>
      <c r="E102" s="189" t="s">
        <v>23</v>
      </c>
      <c r="F102" s="192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418368241.60967106</v>
      </c>
      <c r="G102" s="192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9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2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2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2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2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418368241.60967106</v>
      </c>
      <c r="M102" s="156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1">
        <f t="shared" ca="1" si="23"/>
        <v>0</v>
      </c>
      <c r="O102" s="192">
        <f t="shared" ca="1" si="20"/>
        <v>0</v>
      </c>
      <c r="P102" s="202">
        <f t="shared" ca="1" si="24"/>
        <v>418368241.60967106</v>
      </c>
      <c r="Q102" s="189">
        <f ca="1">IFERROR(VLOOKUP(A102,[1]Energiindhold!$A$2:$C$11,3,FALSE),IFERROR(VLOOKUP(A102,[1]Biogasudbytte!$A$2:$B$18,2,FALSE)*[1]Energiindhold!$C$10,0))*O102</f>
        <v>0</v>
      </c>
      <c r="R102" s="189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9">
        <f>IFERROR(VLOOKUP(A102,[1]Biogasudbytte!$A$2:$B$18,2,FALSE)*[1]Energiindhold!$C$10,0)*J102*IFERROR(VLOOKUP(A102,Biogasanlæg!$F$3:$G$8,2,FALSE),1)</f>
        <v>0</v>
      </c>
      <c r="T102" s="190">
        <f t="shared" si="25"/>
        <v>0</v>
      </c>
      <c r="U102" s="188">
        <f ca="1">O102*IFERROR(VLOOKUP(A102,[1]Tørstofindhold!A$2:B$24,2,FALSE),0)</f>
        <v>0</v>
      </c>
      <c r="V102" s="189">
        <f ca="1">IF(D102=År1,P102,SUM(O102,P102))*IFERROR(VLOOKUP(A102,[1]Tørstofindhold!A$2:B$24,2,FALSE),0)</f>
        <v>0</v>
      </c>
      <c r="W102" s="189">
        <f>J102*IFERROR(VLOOKUP(A102,[1]Tørstofindhold!A$2:B$24,2,FALSE),0)</f>
        <v>0</v>
      </c>
      <c r="X102" s="190">
        <f t="shared" ca="1" si="26"/>
        <v>0</v>
      </c>
      <c r="Y102" s="170">
        <f t="shared" ca="1" si="21"/>
        <v>0</v>
      </c>
      <c r="Z102" s="103">
        <f t="shared" ca="1" si="22"/>
        <v>0</v>
      </c>
    </row>
    <row r="103" spans="1:26" hidden="1" x14ac:dyDescent="0.25">
      <c r="A103" s="191" t="str">
        <f t="shared" si="33"/>
        <v>Biogasgylle</v>
      </c>
      <c r="B103" s="191" t="str">
        <f t="shared" si="34"/>
        <v/>
      </c>
      <c r="C103" s="191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1">
        <f t="shared" si="35"/>
        <v>2050</v>
      </c>
      <c r="E103" s="189" t="s">
        <v>23</v>
      </c>
      <c r="F103" s="192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15158237.369996985</v>
      </c>
      <c r="G103" s="192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9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2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2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2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8808668.0901926495</v>
      </c>
      <c r="L103" s="192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6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1">
        <f t="shared" ca="1" si="23"/>
        <v>6349569.2798043359</v>
      </c>
      <c r="O103" s="192">
        <f t="shared" si="20"/>
        <v>0</v>
      </c>
      <c r="P103" s="202">
        <f t="shared" si="24"/>
        <v>0</v>
      </c>
      <c r="Q103" s="189">
        <f>IFERROR(VLOOKUP(A103,[1]Energiindhold!$A$2:$C$11,3,FALSE),IFERROR(VLOOKUP(A103,[1]Biogasudbytte!$A$2:$B$18,2,FALSE)*[1]Energiindhold!$C$10,0))*O103</f>
        <v>0</v>
      </c>
      <c r="R103" s="189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9">
        <f>IFERROR(VLOOKUP(A103,[1]Biogasudbytte!$A$2:$B$18,2,FALSE)*[1]Energiindhold!$C$10,0)*J103*IFERROR(VLOOKUP(A103,Biogasanlæg!$F$3:$G$8,2,FALSE),1)</f>
        <v>0</v>
      </c>
      <c r="T103" s="190">
        <f t="shared" si="25"/>
        <v>0</v>
      </c>
      <c r="U103" s="188">
        <f>O103*IFERROR(VLOOKUP(A103,[1]Tørstofindhold!A$2:B$24,2,FALSE),0)</f>
        <v>0</v>
      </c>
      <c r="V103" s="189">
        <f>IF(D103=År1,P103,SUM(O103,P103))*IFERROR(VLOOKUP(A103,[1]Tørstofindhold!A$2:B$24,2,FALSE),0)</f>
        <v>0</v>
      </c>
      <c r="W103" s="189">
        <f>J103*IFERROR(VLOOKUP(A103,[1]Tørstofindhold!A$2:B$24,2,FALSE),0)</f>
        <v>0</v>
      </c>
      <c r="X103" s="190">
        <f t="shared" si="26"/>
        <v>0</v>
      </c>
      <c r="Y103" s="170">
        <f t="shared" ca="1" si="21"/>
        <v>0</v>
      </c>
      <c r="Z103" s="103">
        <f t="shared" ca="1" si="22"/>
        <v>1</v>
      </c>
    </row>
    <row r="104" spans="1:26" hidden="1" x14ac:dyDescent="0.25">
      <c r="A104" s="191" t="str">
        <f t="shared" si="33"/>
        <v>Brun saft</v>
      </c>
      <c r="B104" s="191" t="str">
        <f t="shared" si="34"/>
        <v>Bionedbrydeligt affald</v>
      </c>
      <c r="C104" s="191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1">
        <f t="shared" si="35"/>
        <v>2050</v>
      </c>
      <c r="E104" s="189" t="s">
        <v>23</v>
      </c>
      <c r="F104" s="192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1498559.3273214886</v>
      </c>
      <c r="G104" s="192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9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2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2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1348703.3945893398</v>
      </c>
      <c r="K104" s="192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2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6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1">
        <f t="shared" si="23"/>
        <v>149855.93273214879</v>
      </c>
      <c r="O104" s="192">
        <f t="shared" si="20"/>
        <v>149855.93273214879</v>
      </c>
      <c r="P104" s="202">
        <f t="shared" si="24"/>
        <v>1348703.3945893398</v>
      </c>
      <c r="Q104" s="189">
        <f>IFERROR(VLOOKUP(A104,[1]Energiindhold!$A$2:$C$11,3,FALSE),IFERROR(VLOOKUP(A104,[1]Biogasudbytte!$A$2:$B$18,2,FALSE)*[1]Energiindhold!$C$10,0))*O104</f>
        <v>8.5122077575905453E-2</v>
      </c>
      <c r="R104" s="189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0.85122077575905486</v>
      </c>
      <c r="S104" s="189">
        <f>IFERROR(VLOOKUP(A104,[1]Biogasudbytte!$A$2:$B$18,2,FALSE)*[1]Energiindhold!$C$10,0)*J104*IFERROR(VLOOKUP(A104,Biogasanlæg!$F$3:$G$8,2,FALSE),1)</f>
        <v>0.76609869818314946</v>
      </c>
      <c r="T104" s="190">
        <f t="shared" si="25"/>
        <v>8.5122077575905397E-2</v>
      </c>
      <c r="U104" s="188">
        <f>O104*IFERROR(VLOOKUP(A104,[1]Tørstofindhold!A$2:B$24,2,FALSE),0)</f>
        <v>6408.3473293612469</v>
      </c>
      <c r="V104" s="189">
        <f>IF(D104=År1,P104,SUM(O104,P104))*IFERROR(VLOOKUP(A104,[1]Tørstofindhold!A$2:B$24,2,FALSE),0)</f>
        <v>64083.473293612493</v>
      </c>
      <c r="W104" s="189">
        <f>J104*IFERROR(VLOOKUP(A104,[1]Tørstofindhold!A$2:B$24,2,FALSE),0)</f>
        <v>57675.125964251252</v>
      </c>
      <c r="X104" s="190">
        <f t="shared" si="26"/>
        <v>6408.3473293612406</v>
      </c>
      <c r="Y104" s="170">
        <f t="shared" si="21"/>
        <v>0</v>
      </c>
      <c r="Z104" s="103">
        <f t="shared" si="22"/>
        <v>1</v>
      </c>
    </row>
    <row r="105" spans="1:26" hidden="1" x14ac:dyDescent="0.25">
      <c r="A105" s="191" t="str">
        <f t="shared" si="33"/>
        <v>Dybstrøelse</v>
      </c>
      <c r="B105" s="191" t="str">
        <f t="shared" si="34"/>
        <v>Husdyrgødning</v>
      </c>
      <c r="C105" s="191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1">
        <f t="shared" si="35"/>
        <v>2050</v>
      </c>
      <c r="E105" s="189" t="s">
        <v>23</v>
      </c>
      <c r="F105" s="192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2082202.1893277755</v>
      </c>
      <c r="G105" s="192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9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2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2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1873981.9703949981</v>
      </c>
      <c r="K105" s="192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78826.225738837195</v>
      </c>
      <c r="L105" s="192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6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1">
        <f t="shared" si="23"/>
        <v>129393.99319394026</v>
      </c>
      <c r="O105" s="192">
        <f t="shared" si="20"/>
        <v>129393.99319394026</v>
      </c>
      <c r="P105" s="202">
        <f t="shared" si="24"/>
        <v>1873981.9703949981</v>
      </c>
      <c r="Q105" s="189">
        <f>IFERROR(VLOOKUP(A105,[1]Energiindhold!$A$2:$C$11,3,FALSE),IFERROR(VLOOKUP(A105,[1]Biogasudbytte!$A$2:$B$18,2,FALSE)*[1]Energiindhold!$C$10,0))*O105</f>
        <v>0.27871466133974732</v>
      </c>
      <c r="R105" s="189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4.3152718255705729</v>
      </c>
      <c r="S105" s="189">
        <f>IFERROR(VLOOKUP(A105,[1]Biogasudbytte!$A$2:$B$18,2,FALSE)*[1]Energiindhold!$C$10,0)*J105*IFERROR(VLOOKUP(A105,Biogasanlæg!$F$3:$G$8,2,FALSE),1)</f>
        <v>4.0365571642308256</v>
      </c>
      <c r="T105" s="190">
        <f t="shared" si="25"/>
        <v>0.27871466133974732</v>
      </c>
      <c r="U105" s="188">
        <f>O105*IFERROR(VLOOKUP(A105,[1]Tørstofindhold!A$2:B$24,2,FALSE),0)</f>
        <v>38818.197958182078</v>
      </c>
      <c r="V105" s="189">
        <f>IF(D105=År1,P105,SUM(O105,P105))*IFERROR(VLOOKUP(A105,[1]Tørstofindhold!A$2:B$24,2,FALSE),0)</f>
        <v>601012.78907668148</v>
      </c>
      <c r="W105" s="189">
        <f>J105*IFERROR(VLOOKUP(A105,[1]Tørstofindhold!A$2:B$24,2,FALSE),0)</f>
        <v>562194.5911184994</v>
      </c>
      <c r="X105" s="190">
        <f t="shared" si="26"/>
        <v>38818.197958182078</v>
      </c>
      <c r="Y105" s="170">
        <f t="shared" si="21"/>
        <v>0</v>
      </c>
      <c r="Z105" s="103">
        <f t="shared" si="22"/>
        <v>1</v>
      </c>
    </row>
    <row r="106" spans="1:26" hidden="1" x14ac:dyDescent="0.25">
      <c r="A106" s="191" t="str">
        <f t="shared" si="33"/>
        <v>Fiberfraktion</v>
      </c>
      <c r="B106" s="191" t="str">
        <f t="shared" si="34"/>
        <v/>
      </c>
      <c r="C106" s="191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1">
        <f t="shared" si="35"/>
        <v>2050</v>
      </c>
      <c r="E106" s="189" t="s">
        <v>23</v>
      </c>
      <c r="F106" s="192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1055492.501306559</v>
      </c>
      <c r="G106" s="192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1056621.1648235293</v>
      </c>
      <c r="H106" s="189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2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2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2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2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6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1">
        <f t="shared" si="23"/>
        <v>-1128.6635169703513</v>
      </c>
      <c r="O106" s="192">
        <f t="shared" si="20"/>
        <v>0</v>
      </c>
      <c r="P106" s="202">
        <f t="shared" si="24"/>
        <v>0</v>
      </c>
      <c r="Q106" s="189">
        <f>IFERROR(VLOOKUP(A106,[1]Energiindhold!$A$2:$C$11,3,FALSE),IFERROR(VLOOKUP(A106,[1]Biogasudbytte!$A$2:$B$18,2,FALSE)*[1]Energiindhold!$C$10,0))*O106</f>
        <v>0</v>
      </c>
      <c r="R106" s="189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9">
        <f>IFERROR(VLOOKUP(A106,[1]Biogasudbytte!$A$2:$B$18,2,FALSE)*[1]Energiindhold!$C$10,0)*J106*IFERROR(VLOOKUP(A106,Biogasanlæg!$F$3:$G$8,2,FALSE),1)</f>
        <v>0</v>
      </c>
      <c r="T106" s="190">
        <f t="shared" si="25"/>
        <v>0</v>
      </c>
      <c r="U106" s="188">
        <f>O106*IFERROR(VLOOKUP(A106,[1]Tørstofindhold!A$2:B$24,2,FALSE),0)</f>
        <v>0</v>
      </c>
      <c r="V106" s="189">
        <f>IF(D106=År1,P106,SUM(O106,P106))*IFERROR(VLOOKUP(A106,[1]Tørstofindhold!A$2:B$24,2,FALSE),0)</f>
        <v>0</v>
      </c>
      <c r="W106" s="189">
        <f>J106*IFERROR(VLOOKUP(A106,[1]Tørstofindhold!A$2:B$24,2,FALSE),0)</f>
        <v>0</v>
      </c>
      <c r="X106" s="190">
        <f t="shared" si="26"/>
        <v>0</v>
      </c>
      <c r="Y106" s="170">
        <f t="shared" si="21"/>
        <v>1</v>
      </c>
      <c r="Z106" s="103">
        <f t="shared" si="22"/>
        <v>0</v>
      </c>
    </row>
    <row r="107" spans="1:26" hidden="1" x14ac:dyDescent="0.25">
      <c r="A107" s="191" t="str">
        <f t="shared" si="33"/>
        <v>Fjerkrægylle</v>
      </c>
      <c r="B107" s="191" t="str">
        <f t="shared" si="34"/>
        <v>Husdyrgødning</v>
      </c>
      <c r="C107" s="191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1">
        <f t="shared" si="35"/>
        <v>2050</v>
      </c>
      <c r="E107" s="189" t="s">
        <v>23</v>
      </c>
      <c r="F107" s="192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10635.968089703798</v>
      </c>
      <c r="G107" s="192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9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2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2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9572.3712807334177</v>
      </c>
      <c r="K107" s="192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1063.5968089703795</v>
      </c>
      <c r="L107" s="192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6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1">
        <f t="shared" si="23"/>
        <v>0</v>
      </c>
      <c r="O107" s="192">
        <f t="shared" si="20"/>
        <v>0</v>
      </c>
      <c r="P107" s="202">
        <f t="shared" si="24"/>
        <v>9572.3712807334177</v>
      </c>
      <c r="Q107" s="189">
        <f>IFERROR(VLOOKUP(A107,[1]Energiindhold!$A$2:$C$11,3,FALSE),IFERROR(VLOOKUP(A107,[1]Biogasudbytte!$A$2:$B$18,2,FALSE)*[1]Energiindhold!$C$10,0))*O107</f>
        <v>0</v>
      </c>
      <c r="R107" s="189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4.5017904896161188E-3</v>
      </c>
      <c r="S107" s="189">
        <f>IFERROR(VLOOKUP(A107,[1]Biogasudbytte!$A$2:$B$18,2,FALSE)*[1]Energiindhold!$C$10,0)*J107*IFERROR(VLOOKUP(A107,Biogasanlæg!$F$3:$G$8,2,FALSE),1)</f>
        <v>4.5017904896161188E-3</v>
      </c>
      <c r="T107" s="190">
        <f t="shared" si="25"/>
        <v>0</v>
      </c>
      <c r="U107" s="188">
        <f>O107*IFERROR(VLOOKUP(A107,[1]Tørstofindhold!A$2:B$24,2,FALSE),0)</f>
        <v>0</v>
      </c>
      <c r="V107" s="189">
        <f>IF(D107=År1,P107,SUM(O107,P107))*IFERROR(VLOOKUP(A107,[1]Tørstofindhold!A$2:B$24,2,FALSE),0)</f>
        <v>603.05939068620535</v>
      </c>
      <c r="W107" s="189">
        <f>J107*IFERROR(VLOOKUP(A107,[1]Tørstofindhold!A$2:B$24,2,FALSE),0)</f>
        <v>603.05939068620535</v>
      </c>
      <c r="X107" s="190">
        <f t="shared" si="26"/>
        <v>0</v>
      </c>
      <c r="Y107" s="170">
        <f t="shared" si="21"/>
        <v>0</v>
      </c>
      <c r="Z107" s="103">
        <f t="shared" si="22"/>
        <v>0</v>
      </c>
    </row>
    <row r="108" spans="1:26" hidden="1" x14ac:dyDescent="0.25">
      <c r="A108" s="191" t="str">
        <f t="shared" si="33"/>
        <v>Fjerkrækød</v>
      </c>
      <c r="B108" s="191" t="str">
        <f t="shared" si="34"/>
        <v/>
      </c>
      <c r="C108" s="191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1">
        <f t="shared" si="35"/>
        <v>2050</v>
      </c>
      <c r="E108" s="189" t="s">
        <v>23</v>
      </c>
      <c r="F108" s="192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114630.7911507355</v>
      </c>
      <c r="G108" s="192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9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2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18335.399813490942</v>
      </c>
      <c r="J108" s="192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2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2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6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1">
        <f t="shared" si="23"/>
        <v>96295.391337244568</v>
      </c>
      <c r="O108" s="192">
        <f t="shared" si="20"/>
        <v>0</v>
      </c>
      <c r="P108" s="202">
        <f t="shared" si="24"/>
        <v>0</v>
      </c>
      <c r="Q108" s="189">
        <f>IFERROR(VLOOKUP(A108,[1]Energiindhold!$A$2:$C$11,3,FALSE),IFERROR(VLOOKUP(A108,[1]Biogasudbytte!$A$2:$B$18,2,FALSE)*[1]Energiindhold!$C$10,0))*O108</f>
        <v>0</v>
      </c>
      <c r="R108" s="189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9">
        <f>IFERROR(VLOOKUP(A108,[1]Biogasudbytte!$A$2:$B$18,2,FALSE)*[1]Energiindhold!$C$10,0)*J108*IFERROR(VLOOKUP(A108,Biogasanlæg!$F$3:$G$8,2,FALSE),1)</f>
        <v>0</v>
      </c>
      <c r="T108" s="190">
        <f t="shared" si="25"/>
        <v>0</v>
      </c>
      <c r="U108" s="188">
        <f>O108*IFERROR(VLOOKUP(A108,[1]Tørstofindhold!A$2:B$24,2,FALSE),0)</f>
        <v>0</v>
      </c>
      <c r="V108" s="189">
        <f>IF(D108=År1,P108,SUM(O108,P108))*IFERROR(VLOOKUP(A108,[1]Tørstofindhold!A$2:B$24,2,FALSE),0)</f>
        <v>0</v>
      </c>
      <c r="W108" s="189">
        <f>J108*IFERROR(VLOOKUP(A108,[1]Tørstofindhold!A$2:B$24,2,FALSE),0)</f>
        <v>0</v>
      </c>
      <c r="X108" s="190">
        <f t="shared" si="26"/>
        <v>0</v>
      </c>
      <c r="Y108" s="170">
        <f t="shared" si="21"/>
        <v>0</v>
      </c>
      <c r="Z108" s="103">
        <f t="shared" si="22"/>
        <v>1</v>
      </c>
    </row>
    <row r="109" spans="1:26" hidden="1" x14ac:dyDescent="0.25">
      <c r="A109" s="191" t="str">
        <f t="shared" si="33"/>
        <v>Frø</v>
      </c>
      <c r="B109" s="191" t="str">
        <f t="shared" si="34"/>
        <v/>
      </c>
      <c r="C109" s="191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1">
        <f t="shared" si="35"/>
        <v>2050</v>
      </c>
      <c r="E109" s="189" t="s">
        <v>23</v>
      </c>
      <c r="F109" s="192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678133.0288987807</v>
      </c>
      <c r="G109" s="192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9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2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2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2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2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6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1">
        <f t="shared" si="23"/>
        <v>678133.0288987807</v>
      </c>
      <c r="O109" s="192">
        <f t="shared" si="20"/>
        <v>0</v>
      </c>
      <c r="P109" s="202">
        <f t="shared" si="24"/>
        <v>0</v>
      </c>
      <c r="Q109" s="189">
        <f>IFERROR(VLOOKUP(A109,[1]Energiindhold!$A$2:$C$11,3,FALSE),IFERROR(VLOOKUP(A109,[1]Biogasudbytte!$A$2:$B$18,2,FALSE)*[1]Energiindhold!$C$10,0))*O109</f>
        <v>0</v>
      </c>
      <c r="R109" s="189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9">
        <f>IFERROR(VLOOKUP(A109,[1]Biogasudbytte!$A$2:$B$18,2,FALSE)*[1]Energiindhold!$C$10,0)*J109*IFERROR(VLOOKUP(A109,Biogasanlæg!$F$3:$G$8,2,FALSE),1)</f>
        <v>0</v>
      </c>
      <c r="T109" s="190">
        <f t="shared" si="25"/>
        <v>0</v>
      </c>
      <c r="U109" s="188">
        <f>O109*IFERROR(VLOOKUP(A109,[1]Tørstofindhold!A$2:B$24,2,FALSE),0)</f>
        <v>0</v>
      </c>
      <c r="V109" s="189">
        <f>IF(D109=År1,P109,SUM(O109,P109))*IFERROR(VLOOKUP(A109,[1]Tørstofindhold!A$2:B$24,2,FALSE),0)</f>
        <v>0</v>
      </c>
      <c r="W109" s="189">
        <f>J109*IFERROR(VLOOKUP(A109,[1]Tørstofindhold!A$2:B$24,2,FALSE),0)</f>
        <v>0</v>
      </c>
      <c r="X109" s="190">
        <f t="shared" si="26"/>
        <v>0</v>
      </c>
      <c r="Y109" s="170">
        <f t="shared" si="21"/>
        <v>0</v>
      </c>
      <c r="Z109" s="103">
        <f t="shared" si="22"/>
        <v>1</v>
      </c>
    </row>
    <row r="110" spans="1:26" hidden="1" x14ac:dyDescent="0.25">
      <c r="A110" s="191" t="str">
        <f t="shared" si="33"/>
        <v>Frugt</v>
      </c>
      <c r="B110" s="191" t="str">
        <f t="shared" si="34"/>
        <v/>
      </c>
      <c r="C110" s="191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1">
        <f t="shared" si="35"/>
        <v>2050</v>
      </c>
      <c r="E110" s="189" t="s">
        <v>23</v>
      </c>
      <c r="F110" s="192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99745.33232665222</v>
      </c>
      <c r="G110" s="192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9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2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2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2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2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6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1">
        <f t="shared" si="23"/>
        <v>-168233.58802436924</v>
      </c>
      <c r="O110" s="192">
        <f t="shared" si="20"/>
        <v>0</v>
      </c>
      <c r="P110" s="202">
        <f t="shared" si="24"/>
        <v>0</v>
      </c>
      <c r="Q110" s="189">
        <f>IFERROR(VLOOKUP(A110,[1]Energiindhold!$A$2:$C$11,3,FALSE),IFERROR(VLOOKUP(A110,[1]Biogasudbytte!$A$2:$B$18,2,FALSE)*[1]Energiindhold!$C$10,0))*O110</f>
        <v>0</v>
      </c>
      <c r="R110" s="189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9">
        <f>IFERROR(VLOOKUP(A110,[1]Biogasudbytte!$A$2:$B$18,2,FALSE)*[1]Energiindhold!$C$10,0)*J110*IFERROR(VLOOKUP(A110,Biogasanlæg!$F$3:$G$8,2,FALSE),1)</f>
        <v>0</v>
      </c>
      <c r="T110" s="190">
        <f t="shared" si="25"/>
        <v>0</v>
      </c>
      <c r="U110" s="188">
        <f>O110*IFERROR(VLOOKUP(A110,[1]Tørstofindhold!A$2:B$24,2,FALSE),0)</f>
        <v>0</v>
      </c>
      <c r="V110" s="189">
        <f>IF(D110=År1,P110,SUM(O110,P110))*IFERROR(VLOOKUP(A110,[1]Tørstofindhold!A$2:B$24,2,FALSE),0)</f>
        <v>0</v>
      </c>
      <c r="W110" s="189">
        <f>J110*IFERROR(VLOOKUP(A110,[1]Tørstofindhold!A$2:B$24,2,FALSE),0)</f>
        <v>0</v>
      </c>
      <c r="X110" s="190">
        <f t="shared" si="26"/>
        <v>0</v>
      </c>
      <c r="Y110" s="170">
        <f t="shared" si="21"/>
        <v>1</v>
      </c>
      <c r="Z110" s="103">
        <f t="shared" si="22"/>
        <v>0</v>
      </c>
    </row>
    <row r="111" spans="1:26" hidden="1" x14ac:dyDescent="0.25">
      <c r="A111" s="191" t="str">
        <f t="shared" si="33"/>
        <v>Glycerin</v>
      </c>
      <c r="B111" s="191" t="str">
        <f t="shared" si="34"/>
        <v>Glycerin</v>
      </c>
      <c r="C111" s="191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1">
        <f t="shared" si="35"/>
        <v>2050</v>
      </c>
      <c r="E111" s="189" t="s">
        <v>23</v>
      </c>
      <c r="F111" s="192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2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9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2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2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2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2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6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1">
        <f t="shared" si="23"/>
        <v>-114193.60000000001</v>
      </c>
      <c r="O111" s="192">
        <f t="shared" si="20"/>
        <v>0</v>
      </c>
      <c r="P111" s="202">
        <f t="shared" si="24"/>
        <v>114193.60000000001</v>
      </c>
      <c r="Q111" s="189">
        <f>IFERROR(VLOOKUP(A111,[1]Energiindhold!$A$2:$C$11,3,FALSE),IFERROR(VLOOKUP(A111,[1]Biogasudbytte!$A$2:$B$18,2,FALSE)*[1]Energiindhold!$C$10,0))*O111</f>
        <v>0</v>
      </c>
      <c r="R111" s="189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9">
        <f>IFERROR(VLOOKUP(A111,[1]Biogasudbytte!$A$2:$B$18,2,FALSE)*[1]Energiindhold!$C$10,0)*J111*IFERROR(VLOOKUP(A111,Biogasanlæg!$F$3:$G$8,2,FALSE),1)</f>
        <v>1.7355855896064003</v>
      </c>
      <c r="T111" s="190">
        <f t="shared" si="25"/>
        <v>0</v>
      </c>
      <c r="U111" s="188">
        <f>O111*IFERROR(VLOOKUP(A111,[1]Tørstofindhold!A$2:B$24,2,FALSE),0)</f>
        <v>0</v>
      </c>
      <c r="V111" s="189">
        <f>IF(D111=År1,P111,SUM(O111,P111))*IFERROR(VLOOKUP(A111,[1]Tørstofindhold!A$2:B$24,2,FALSE),0)</f>
        <v>102774.24</v>
      </c>
      <c r="W111" s="189">
        <f>J111*IFERROR(VLOOKUP(A111,[1]Tørstofindhold!A$2:B$24,2,FALSE),0)</f>
        <v>102774.24</v>
      </c>
      <c r="X111" s="190">
        <f t="shared" si="26"/>
        <v>0</v>
      </c>
      <c r="Y111" s="170">
        <f t="shared" si="21"/>
        <v>1</v>
      </c>
      <c r="Z111" s="103">
        <f t="shared" si="22"/>
        <v>0</v>
      </c>
    </row>
    <row r="112" spans="1:26" hidden="1" x14ac:dyDescent="0.25">
      <c r="A112" s="191" t="str">
        <f t="shared" si="33"/>
        <v>Græs</v>
      </c>
      <c r="B112" s="191" t="str">
        <f t="shared" si="34"/>
        <v>Græs og urter</v>
      </c>
      <c r="C112" s="191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1">
        <f t="shared" si="35"/>
        <v>2050</v>
      </c>
      <c r="E112" s="189" t="s">
        <v>23</v>
      </c>
      <c r="F112" s="192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7806013.0843895487</v>
      </c>
      <c r="G112" s="192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6347522.3700933382</v>
      </c>
      <c r="H112" s="189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2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2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2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2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6">
        <f>SUMIFS('Forbrug af biomasse'!E:E,'Forbrug af biomasse'!C:C,'Resultat-Produktion &amp; forbrug'!$A112,'Forbrug af biomasse'!D:D,'Resultat-Produktion &amp; forbrug'!$D112,'Forbrug af biomasse'!G:G,1,'Forbrug af biomasse'!B:B,$E112)</f>
        <v>3066719.6149769477</v>
      </c>
      <c r="N112" s="201">
        <f t="shared" si="23"/>
        <v>-1608228.9006807376</v>
      </c>
      <c r="O112" s="192">
        <f t="shared" si="20"/>
        <v>0</v>
      </c>
      <c r="P112" s="202">
        <f t="shared" si="24"/>
        <v>0</v>
      </c>
      <c r="Q112" s="189">
        <f>IFERROR(VLOOKUP(A112,[1]Energiindhold!$A$2:$C$11,3,FALSE),IFERROR(VLOOKUP(A112,[1]Biogasudbytte!$A$2:$B$18,2,FALSE)*[1]Energiindhold!$C$10,0))*O112</f>
        <v>0</v>
      </c>
      <c r="R112" s="189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9">
        <f>IFERROR(VLOOKUP(A112,[1]Biogasudbytte!$A$2:$B$18,2,FALSE)*[1]Energiindhold!$C$10,0)*J112*IFERROR(VLOOKUP(A112,Biogasanlæg!$F$3:$G$8,2,FALSE),1)</f>
        <v>0</v>
      </c>
      <c r="T112" s="190">
        <f t="shared" si="25"/>
        <v>0</v>
      </c>
      <c r="U112" s="188">
        <f>O112*IFERROR(VLOOKUP(A112,[1]Tørstofindhold!A$2:B$24,2,FALSE),0)</f>
        <v>0</v>
      </c>
      <c r="V112" s="189">
        <f>IF(D112=År1,P112,SUM(O112,P112))*IFERROR(VLOOKUP(A112,[1]Tørstofindhold!A$2:B$24,2,FALSE),0)</f>
        <v>0</v>
      </c>
      <c r="W112" s="189">
        <f>J112*IFERROR(VLOOKUP(A112,[1]Tørstofindhold!A$2:B$24,2,FALSE),0)</f>
        <v>0</v>
      </c>
      <c r="X112" s="190">
        <f t="shared" si="26"/>
        <v>0</v>
      </c>
      <c r="Y112" s="170">
        <f t="shared" si="21"/>
        <v>0</v>
      </c>
      <c r="Z112" s="103">
        <f t="shared" si="22"/>
        <v>1</v>
      </c>
    </row>
    <row r="113" spans="1:26" hidden="1" x14ac:dyDescent="0.25">
      <c r="A113" s="191" t="str">
        <f t="shared" si="33"/>
        <v>Græsprotein</v>
      </c>
      <c r="B113" s="191" t="str">
        <f t="shared" si="34"/>
        <v/>
      </c>
      <c r="C113" s="191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1">
        <f t="shared" si="35"/>
        <v>2050</v>
      </c>
      <c r="E113" s="189" t="s">
        <v>23</v>
      </c>
      <c r="F113" s="192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512667.7863489</v>
      </c>
      <c r="G113" s="192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512667.7863489</v>
      </c>
      <c r="H113" s="189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2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2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2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2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6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1">
        <f t="shared" si="23"/>
        <v>0</v>
      </c>
      <c r="O113" s="192">
        <f t="shared" si="20"/>
        <v>0</v>
      </c>
      <c r="P113" s="202">
        <f t="shared" si="24"/>
        <v>0</v>
      </c>
      <c r="Q113" s="189">
        <f>IFERROR(VLOOKUP(A113,[1]Energiindhold!$A$2:$C$11,3,FALSE),IFERROR(VLOOKUP(A113,[1]Biogasudbytte!$A$2:$B$18,2,FALSE)*[1]Energiindhold!$C$10,0))*O113</f>
        <v>0</v>
      </c>
      <c r="R113" s="189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9">
        <f>IFERROR(VLOOKUP(A113,[1]Biogasudbytte!$A$2:$B$18,2,FALSE)*[1]Energiindhold!$C$10,0)*J113*IFERROR(VLOOKUP(A113,Biogasanlæg!$F$3:$G$8,2,FALSE),1)</f>
        <v>0</v>
      </c>
      <c r="T113" s="190">
        <f t="shared" si="25"/>
        <v>0</v>
      </c>
      <c r="U113" s="188">
        <f>O113*IFERROR(VLOOKUP(A113,[1]Tørstofindhold!A$2:B$24,2,FALSE),0)</f>
        <v>0</v>
      </c>
      <c r="V113" s="189">
        <f>IF(D113=År1,P113,SUM(O113,P113))*IFERROR(VLOOKUP(A113,[1]Tørstofindhold!A$2:B$24,2,FALSE),0)</f>
        <v>0</v>
      </c>
      <c r="W113" s="189">
        <f>J113*IFERROR(VLOOKUP(A113,[1]Tørstofindhold!A$2:B$24,2,FALSE),0)</f>
        <v>0</v>
      </c>
      <c r="X113" s="190">
        <f t="shared" si="26"/>
        <v>0</v>
      </c>
      <c r="Y113" s="170">
        <f t="shared" si="21"/>
        <v>0</v>
      </c>
      <c r="Z113" s="103">
        <f t="shared" si="22"/>
        <v>0</v>
      </c>
    </row>
    <row r="114" spans="1:26" hidden="1" x14ac:dyDescent="0.25">
      <c r="A114" s="191" t="str">
        <f t="shared" si="33"/>
        <v>Grøntsager</v>
      </c>
      <c r="B114" s="191" t="str">
        <f t="shared" si="34"/>
        <v/>
      </c>
      <c r="C114" s="191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1">
        <f t="shared" si="35"/>
        <v>2050</v>
      </c>
      <c r="E114" s="189" t="s">
        <v>23</v>
      </c>
      <c r="F114" s="192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1076409.0953461644</v>
      </c>
      <c r="G114" s="192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9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2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2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2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2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6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1">
        <f t="shared" si="23"/>
        <v>795736.4366627261</v>
      </c>
      <c r="O114" s="192">
        <f t="shared" si="20"/>
        <v>0</v>
      </c>
      <c r="P114" s="202">
        <f t="shared" si="24"/>
        <v>0</v>
      </c>
      <c r="Q114" s="189">
        <f>IFERROR(VLOOKUP(A114,[1]Energiindhold!$A$2:$C$11,3,FALSE),IFERROR(VLOOKUP(A114,[1]Biogasudbytte!$A$2:$B$18,2,FALSE)*[1]Energiindhold!$C$10,0))*O114</f>
        <v>0</v>
      </c>
      <c r="R114" s="189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9">
        <f>IFERROR(VLOOKUP(A114,[1]Biogasudbytte!$A$2:$B$18,2,FALSE)*[1]Energiindhold!$C$10,0)*J114*IFERROR(VLOOKUP(A114,Biogasanlæg!$F$3:$G$8,2,FALSE),1)</f>
        <v>0</v>
      </c>
      <c r="T114" s="190">
        <f t="shared" si="25"/>
        <v>0</v>
      </c>
      <c r="U114" s="188">
        <f>O114*IFERROR(VLOOKUP(A114,[1]Tørstofindhold!A$2:B$24,2,FALSE),0)</f>
        <v>0</v>
      </c>
      <c r="V114" s="189">
        <f>IF(D114=År1,P114,SUM(O114,P114))*IFERROR(VLOOKUP(A114,[1]Tørstofindhold!A$2:B$24,2,FALSE),0)</f>
        <v>0</v>
      </c>
      <c r="W114" s="189">
        <f>J114*IFERROR(VLOOKUP(A114,[1]Tørstofindhold!A$2:B$24,2,FALSE),0)</f>
        <v>0</v>
      </c>
      <c r="X114" s="190">
        <f t="shared" si="26"/>
        <v>0</v>
      </c>
      <c r="Y114" s="170">
        <f t="shared" si="21"/>
        <v>0</v>
      </c>
      <c r="Z114" s="103">
        <f t="shared" si="22"/>
        <v>1</v>
      </c>
    </row>
    <row r="115" spans="1:26" x14ac:dyDescent="0.25">
      <c r="A115" s="191" t="str">
        <f t="shared" si="33"/>
        <v>Halm</v>
      </c>
      <c r="B115" s="191" t="str">
        <f t="shared" si="34"/>
        <v>Halm og strå</v>
      </c>
      <c r="C115" s="191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1">
        <f t="shared" si="35"/>
        <v>2050</v>
      </c>
      <c r="E115" s="189" t="s">
        <v>23</v>
      </c>
      <c r="F115" s="192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2628820.8537958581</v>
      </c>
      <c r="G115" s="192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0</v>
      </c>
      <c r="H115" s="189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353380.39040849992</v>
      </c>
      <c r="I115" s="192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2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2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2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483071.86454684939</v>
      </c>
      <c r="M115" s="156">
        <f>SUMIFS('Forbrug af biomasse'!E:E,'Forbrug af biomasse'!C:C,'Resultat-Produktion &amp; forbrug'!$A115,'Forbrug af biomasse'!D:D,'Resultat-Produktion &amp; forbrug'!$D115,'Forbrug af biomasse'!G:G,1,'Forbrug af biomasse'!B:B,$E115)</f>
        <v>1792368.5988405086</v>
      </c>
      <c r="N115" s="201">
        <f t="shared" si="23"/>
        <v>0</v>
      </c>
      <c r="O115" s="192">
        <f t="shared" si="20"/>
        <v>0</v>
      </c>
      <c r="P115" s="202">
        <f t="shared" si="24"/>
        <v>483071.86454684939</v>
      </c>
      <c r="Q115" s="189">
        <f>IFERROR(VLOOKUP(A115,[1]Energiindhold!$A$2:$C$11,3,FALSE),IFERROR(VLOOKUP(A115,[1]Biogasudbytte!$A$2:$B$18,2,FALSE)*[1]Energiindhold!$C$10,0))*O115</f>
        <v>0</v>
      </c>
      <c r="R115" s="189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4.9929372398407832</v>
      </c>
      <c r="S115" s="189">
        <f>IFERROR(VLOOKUP(A115,[1]Biogasudbytte!$A$2:$B$18,2,FALSE)*[1]Energiindhold!$C$10,0)*J115*IFERROR(VLOOKUP(A115,Biogasanlæg!$F$3:$G$8,2,FALSE),1)</f>
        <v>0</v>
      </c>
      <c r="T115" s="190">
        <f t="shared" si="25"/>
        <v>4.9929372398407832</v>
      </c>
      <c r="U115" s="188">
        <f>O115*IFERROR(VLOOKUP(A115,[1]Tørstofindhold!A$2:B$24,2,FALSE),0)</f>
        <v>0</v>
      </c>
      <c r="V115" s="189">
        <f>IF(D115=År1,P115,SUM(O115,P115))*IFERROR(VLOOKUP(A115,[1]Tørstofindhold!A$2:B$24,2,FALSE),0)</f>
        <v>410611.08486482198</v>
      </c>
      <c r="W115" s="189">
        <f>J115*IFERROR(VLOOKUP(A115,[1]Tørstofindhold!A$2:B$24,2,FALSE),0)</f>
        <v>0</v>
      </c>
      <c r="X115" s="190">
        <f t="shared" si="26"/>
        <v>410611.08486482198</v>
      </c>
      <c r="Y115" s="170">
        <f t="shared" si="21"/>
        <v>0</v>
      </c>
      <c r="Z115" s="103">
        <f t="shared" si="22"/>
        <v>0</v>
      </c>
    </row>
    <row r="116" spans="1:26" hidden="1" x14ac:dyDescent="0.25">
      <c r="A116" s="191" t="str">
        <f t="shared" si="33"/>
        <v>Have/parkaffald</v>
      </c>
      <c r="B116" s="191" t="str">
        <f t="shared" si="34"/>
        <v>Bionedbrydeligt affald</v>
      </c>
      <c r="C116" s="191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1">
        <f t="shared" si="35"/>
        <v>2050</v>
      </c>
      <c r="E116" s="189" t="s">
        <v>23</v>
      </c>
      <c r="F116" s="192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2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9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2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2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2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2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6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1">
        <f t="shared" si="23"/>
        <v>0</v>
      </c>
      <c r="O116" s="192">
        <f t="shared" si="20"/>
        <v>0</v>
      </c>
      <c r="P116" s="202">
        <f t="shared" si="24"/>
        <v>524881.97503939818</v>
      </c>
      <c r="Q116" s="189">
        <f>IFERROR(VLOOKUP(A116,[1]Energiindhold!$A$2:$C$11,3,FALSE),IFERROR(VLOOKUP(A116,[1]Biogasudbytte!$A$2:$B$18,2,FALSE)*[1]Energiindhold!$C$10,0))*O116</f>
        <v>0</v>
      </c>
      <c r="R116" s="189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89">
        <f>IFERROR(VLOOKUP(A116,[1]Biogasudbytte!$A$2:$B$18,2,FALSE)*[1]Energiindhold!$C$10,0)*J116*IFERROR(VLOOKUP(A116,Biogasanlæg!$F$3:$G$8,2,FALSE),1)</f>
        <v>0.72550115870339082</v>
      </c>
      <c r="T116" s="190">
        <f t="shared" si="25"/>
        <v>1.7429396506893622</v>
      </c>
      <c r="U116" s="188">
        <f>O116*IFERROR(VLOOKUP(A116,[1]Tørstofindhold!A$2:B$24,2,FALSE),0)</f>
        <v>0</v>
      </c>
      <c r="V116" s="189">
        <f>IF(D116=År1,P116,SUM(O116,P116))*IFERROR(VLOOKUP(A116,[1]Tørstofindhold!A$2:B$24,2,FALSE),0)</f>
        <v>157464.59251181944</v>
      </c>
      <c r="W116" s="189">
        <f>J116*IFERROR(VLOOKUP(A116,[1]Tørstofindhold!A$2:B$24,2,FALSE),0)</f>
        <v>128175.13271597591</v>
      </c>
      <c r="X116" s="190">
        <f t="shared" si="26"/>
        <v>29289.459795843533</v>
      </c>
      <c r="Y116" s="170">
        <f t="shared" si="21"/>
        <v>0</v>
      </c>
      <c r="Z116" s="103">
        <f t="shared" si="22"/>
        <v>0</v>
      </c>
    </row>
    <row r="117" spans="1:26" hidden="1" x14ac:dyDescent="0.25">
      <c r="A117" s="191" t="str">
        <f t="shared" si="33"/>
        <v>Import af foder</v>
      </c>
      <c r="B117" s="191" t="str">
        <f t="shared" si="34"/>
        <v/>
      </c>
      <c r="C117" s="191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1">
        <f t="shared" si="35"/>
        <v>2050</v>
      </c>
      <c r="E117" s="189" t="s">
        <v>23</v>
      </c>
      <c r="F117" s="192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2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9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2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2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2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2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6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1">
        <f t="shared" si="23"/>
        <v>0</v>
      </c>
      <c r="O117" s="192">
        <f t="shared" si="20"/>
        <v>0</v>
      </c>
      <c r="P117" s="202">
        <f t="shared" si="24"/>
        <v>0</v>
      </c>
      <c r="Q117" s="189">
        <f>IFERROR(VLOOKUP(A117,[1]Energiindhold!$A$2:$C$11,3,FALSE),IFERROR(VLOOKUP(A117,[1]Biogasudbytte!$A$2:$B$18,2,FALSE)*[1]Energiindhold!$C$10,0))*O117</f>
        <v>0</v>
      </c>
      <c r="R117" s="189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9">
        <f>IFERROR(VLOOKUP(A117,[1]Biogasudbytte!$A$2:$B$18,2,FALSE)*[1]Energiindhold!$C$10,0)*J117*IFERROR(VLOOKUP(A117,Biogasanlæg!$F$3:$G$8,2,FALSE),1)</f>
        <v>0</v>
      </c>
      <c r="T117" s="190">
        <f t="shared" si="25"/>
        <v>0</v>
      </c>
      <c r="U117" s="188">
        <f>O117*IFERROR(VLOOKUP(A117,[1]Tørstofindhold!A$2:B$24,2,FALSE),0)</f>
        <v>0</v>
      </c>
      <c r="V117" s="189">
        <f>IF(D117=År1,P117,SUM(O117,P117))*IFERROR(VLOOKUP(A117,[1]Tørstofindhold!A$2:B$24,2,FALSE),0)</f>
        <v>0</v>
      </c>
      <c r="W117" s="189">
        <f>J117*IFERROR(VLOOKUP(A117,[1]Tørstofindhold!A$2:B$24,2,FALSE),0)</f>
        <v>0</v>
      </c>
      <c r="X117" s="190">
        <f t="shared" si="26"/>
        <v>0</v>
      </c>
      <c r="Y117" s="170">
        <f t="shared" si="21"/>
        <v>0</v>
      </c>
      <c r="Z117" s="103">
        <f t="shared" si="22"/>
        <v>0</v>
      </c>
    </row>
    <row r="118" spans="1:26" hidden="1" x14ac:dyDescent="0.25">
      <c r="A118" s="191" t="str">
        <f t="shared" si="33"/>
        <v>Industriaffald</v>
      </c>
      <c r="B118" s="191" t="str">
        <f t="shared" si="34"/>
        <v>Bionedbrydeligt affald</v>
      </c>
      <c r="C118" s="191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1">
        <f t="shared" si="35"/>
        <v>2050</v>
      </c>
      <c r="E118" s="189" t="s">
        <v>23</v>
      </c>
      <c r="F118" s="192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349165.19104178954</v>
      </c>
      <c r="G118" s="192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9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2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2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327578.03456131206</v>
      </c>
      <c r="K118" s="192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2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6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1">
        <f t="shared" si="23"/>
        <v>21587.156480477483</v>
      </c>
      <c r="O118" s="192">
        <f t="shared" si="20"/>
        <v>21587.156480477483</v>
      </c>
      <c r="P118" s="202">
        <f t="shared" si="24"/>
        <v>327578.03456131206</v>
      </c>
      <c r="Q118" s="189">
        <f>IFERROR(VLOOKUP(A118,[1]Energiindhold!$A$2:$C$11,3,FALSE),IFERROR(VLOOKUP(A118,[1]Biogasudbytte!$A$2:$B$18,2,FALSE)*[1]Energiindhold!$C$10,0))*O118</f>
        <v>9.3539955360251406E-2</v>
      </c>
      <c r="R118" s="189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1.3000624329241111</v>
      </c>
      <c r="S118" s="189">
        <f>IFERROR(VLOOKUP(A118,[1]Biogasudbytte!$A$2:$B$18,2,FALSE)*[1]Energiindhold!$C$10,0)*J118*IFERROR(VLOOKUP(A118,Biogasanlæg!$F$3:$G$8,2,FALSE),1)</f>
        <v>1.2065224775638597</v>
      </c>
      <c r="T118" s="190">
        <f t="shared" si="25"/>
        <v>9.3539955360251392E-2</v>
      </c>
      <c r="U118" s="188">
        <f>O118*IFERROR(VLOOKUP(A118,[1]Tørstofindhold!A$2:B$24,2,FALSE),0)</f>
        <v>9066.6057218005426</v>
      </c>
      <c r="V118" s="189">
        <f>IF(D118=År1,P118,SUM(O118,P118))*IFERROR(VLOOKUP(A118,[1]Tørstofindhold!A$2:B$24,2,FALSE),0)</f>
        <v>146649.38023755161</v>
      </c>
      <c r="W118" s="189">
        <f>J118*IFERROR(VLOOKUP(A118,[1]Tørstofindhold!A$2:B$24,2,FALSE),0)</f>
        <v>137582.77451575105</v>
      </c>
      <c r="X118" s="190">
        <f t="shared" si="26"/>
        <v>9066.605721800559</v>
      </c>
      <c r="Y118" s="170">
        <f t="shared" si="21"/>
        <v>0</v>
      </c>
      <c r="Z118" s="103">
        <f t="shared" si="22"/>
        <v>1</v>
      </c>
    </row>
    <row r="119" spans="1:26" hidden="1" x14ac:dyDescent="0.25">
      <c r="A119" s="191" t="str">
        <f t="shared" si="33"/>
        <v>Juletræer</v>
      </c>
      <c r="B119" s="191" t="str">
        <f t="shared" si="34"/>
        <v/>
      </c>
      <c r="C119" s="191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1">
        <f t="shared" si="35"/>
        <v>2050</v>
      </c>
      <c r="E119" s="189" t="s">
        <v>23</v>
      </c>
      <c r="F119" s="192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445678.82311442285</v>
      </c>
      <c r="G119" s="192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9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2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2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2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2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6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1">
        <f t="shared" si="23"/>
        <v>445678.82311442285</v>
      </c>
      <c r="O119" s="192">
        <f t="shared" si="20"/>
        <v>0</v>
      </c>
      <c r="P119" s="202">
        <f t="shared" si="24"/>
        <v>0</v>
      </c>
      <c r="Q119" s="189">
        <f>IFERROR(VLOOKUP(A119,[1]Energiindhold!$A$2:$C$11,3,FALSE),IFERROR(VLOOKUP(A119,[1]Biogasudbytte!$A$2:$B$18,2,FALSE)*[1]Energiindhold!$C$10,0))*O119</f>
        <v>0</v>
      </c>
      <c r="R119" s="189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9">
        <f>IFERROR(VLOOKUP(A119,[1]Biogasudbytte!$A$2:$B$18,2,FALSE)*[1]Energiindhold!$C$10,0)*J119*IFERROR(VLOOKUP(A119,Biogasanlæg!$F$3:$G$8,2,FALSE),1)</f>
        <v>0</v>
      </c>
      <c r="T119" s="190">
        <f t="shared" si="25"/>
        <v>0</v>
      </c>
      <c r="U119" s="188">
        <f>O119*IFERROR(VLOOKUP(A119,[1]Tørstofindhold!A$2:B$24,2,FALSE),0)</f>
        <v>0</v>
      </c>
      <c r="V119" s="189">
        <f>IF(D119=År1,P119,SUM(O119,P119))*IFERROR(VLOOKUP(A119,[1]Tørstofindhold!A$2:B$24,2,FALSE),0)</f>
        <v>0</v>
      </c>
      <c r="W119" s="189">
        <f>J119*IFERROR(VLOOKUP(A119,[1]Tørstofindhold!A$2:B$24,2,FALSE),0)</f>
        <v>0</v>
      </c>
      <c r="X119" s="190">
        <f t="shared" si="26"/>
        <v>0</v>
      </c>
      <c r="Y119" s="170">
        <f t="shared" si="21"/>
        <v>0</v>
      </c>
      <c r="Z119" s="103">
        <f t="shared" si="22"/>
        <v>1</v>
      </c>
    </row>
    <row r="120" spans="1:26" hidden="1" x14ac:dyDescent="0.25">
      <c r="A120" s="191" t="str">
        <f t="shared" si="33"/>
        <v>Kartofler</v>
      </c>
      <c r="B120" s="191" t="str">
        <f t="shared" si="34"/>
        <v/>
      </c>
      <c r="C120" s="191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1">
        <f t="shared" si="35"/>
        <v>2050</v>
      </c>
      <c r="E120" s="189" t="s">
        <v>23</v>
      </c>
      <c r="F120" s="192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1496919.3793012851</v>
      </c>
      <c r="G120" s="192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9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2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2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2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2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6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1">
        <f t="shared" si="23"/>
        <v>1368571.5806068485</v>
      </c>
      <c r="O120" s="192">
        <f t="shared" si="20"/>
        <v>0</v>
      </c>
      <c r="P120" s="202">
        <f t="shared" si="24"/>
        <v>0</v>
      </c>
      <c r="Q120" s="189">
        <f>IFERROR(VLOOKUP(A120,[1]Energiindhold!$A$2:$C$11,3,FALSE),IFERROR(VLOOKUP(A120,[1]Biogasudbytte!$A$2:$B$18,2,FALSE)*[1]Energiindhold!$C$10,0))*O120</f>
        <v>0</v>
      </c>
      <c r="R120" s="189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9">
        <f>IFERROR(VLOOKUP(A120,[1]Biogasudbytte!$A$2:$B$18,2,FALSE)*[1]Energiindhold!$C$10,0)*J120*IFERROR(VLOOKUP(A120,Biogasanlæg!$F$3:$G$8,2,FALSE),1)</f>
        <v>0</v>
      </c>
      <c r="T120" s="190">
        <f t="shared" si="25"/>
        <v>0</v>
      </c>
      <c r="U120" s="188">
        <f>O120*IFERROR(VLOOKUP(A120,[1]Tørstofindhold!A$2:B$24,2,FALSE),0)</f>
        <v>0</v>
      </c>
      <c r="V120" s="189">
        <f>IF(D120=År1,P120,SUM(O120,P120))*IFERROR(VLOOKUP(A120,[1]Tørstofindhold!A$2:B$24,2,FALSE),0)</f>
        <v>0</v>
      </c>
      <c r="W120" s="189">
        <f>J120*IFERROR(VLOOKUP(A120,[1]Tørstofindhold!A$2:B$24,2,FALSE),0)</f>
        <v>0</v>
      </c>
      <c r="X120" s="190">
        <f t="shared" si="26"/>
        <v>0</v>
      </c>
      <c r="Y120" s="170">
        <f t="shared" si="21"/>
        <v>0</v>
      </c>
      <c r="Z120" s="103">
        <f t="shared" si="22"/>
        <v>1</v>
      </c>
    </row>
    <row r="121" spans="1:26" hidden="1" x14ac:dyDescent="0.25">
      <c r="A121" s="191" t="str">
        <f t="shared" si="33"/>
        <v>Korn</v>
      </c>
      <c r="B121" s="191" t="str">
        <f t="shared" si="34"/>
        <v>Halm og strå</v>
      </c>
      <c r="C121" s="191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1">
        <f t="shared" si="35"/>
        <v>2050</v>
      </c>
      <c r="E121" s="189" t="s">
        <v>23</v>
      </c>
      <c r="F121" s="192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3504131.9697836237</v>
      </c>
      <c r="G121" s="192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3027382.7402155623</v>
      </c>
      <c r="H121" s="189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2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2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2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2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6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1">
        <f t="shared" si="23"/>
        <v>169278.67884952109</v>
      </c>
      <c r="O121" s="192">
        <f t="shared" si="20"/>
        <v>169278.67884952109</v>
      </c>
      <c r="P121" s="202">
        <f t="shared" si="24"/>
        <v>0</v>
      </c>
      <c r="Q121" s="189">
        <f>IFERROR(VLOOKUP(A121,[1]Energiindhold!$A$2:$C$11,3,FALSE),IFERROR(VLOOKUP(A121,[1]Biogasudbytte!$A$2:$B$18,2,FALSE)*[1]Energiindhold!$C$10,0))*O121</f>
        <v>0.57975577604457096</v>
      </c>
      <c r="R121" s="189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0.57975577604457096</v>
      </c>
      <c r="S121" s="189">
        <f>IFERROR(VLOOKUP(A121,[1]Biogasudbytte!$A$2:$B$18,2,FALSE)*[1]Energiindhold!$C$10,0)*J121*IFERROR(VLOOKUP(A121,Biogasanlæg!$F$3:$G$8,2,FALSE),1)</f>
        <v>0</v>
      </c>
      <c r="T121" s="190">
        <f t="shared" si="25"/>
        <v>0.57975577604457096</v>
      </c>
      <c r="U121" s="188">
        <f>O121*IFERROR(VLOOKUP(A121,[1]Tørstofindhold!A$2:B$24,2,FALSE),0)</f>
        <v>52476.390443351542</v>
      </c>
      <c r="V121" s="189">
        <f>IF(D121=År1,P121,SUM(O121,P121))*IFERROR(VLOOKUP(A121,[1]Tørstofindhold!A$2:B$24,2,FALSE),0)</f>
        <v>52476.390443351542</v>
      </c>
      <c r="W121" s="189">
        <f>J121*IFERROR(VLOOKUP(A121,[1]Tørstofindhold!A$2:B$24,2,FALSE),0)</f>
        <v>0</v>
      </c>
      <c r="X121" s="190">
        <f t="shared" si="26"/>
        <v>52476.390443351542</v>
      </c>
      <c r="Y121" s="170">
        <f t="shared" si="21"/>
        <v>0</v>
      </c>
      <c r="Z121" s="103">
        <f t="shared" si="22"/>
        <v>1</v>
      </c>
    </row>
    <row r="122" spans="1:26" hidden="1" x14ac:dyDescent="0.25">
      <c r="A122" s="191" t="str">
        <f t="shared" si="33"/>
        <v>Kunstgødning</v>
      </c>
      <c r="B122" s="191" t="str">
        <f t="shared" si="34"/>
        <v/>
      </c>
      <c r="C122" s="191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1">
        <f t="shared" si="35"/>
        <v>2050</v>
      </c>
      <c r="E122" s="189" t="s">
        <v>23</v>
      </c>
      <c r="F122" s="192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2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9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2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2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2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1105939.1537963203</v>
      </c>
      <c r="L122" s="192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6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1">
        <f t="shared" ca="1" si="23"/>
        <v>-1105939.1537963203</v>
      </c>
      <c r="O122" s="192">
        <f t="shared" si="20"/>
        <v>0</v>
      </c>
      <c r="P122" s="202">
        <f t="shared" si="24"/>
        <v>0</v>
      </c>
      <c r="Q122" s="189">
        <f>IFERROR(VLOOKUP(A122,[1]Energiindhold!$A$2:$C$11,3,FALSE),IFERROR(VLOOKUP(A122,[1]Biogasudbytte!$A$2:$B$18,2,FALSE)*[1]Energiindhold!$C$10,0))*O122</f>
        <v>0</v>
      </c>
      <c r="R122" s="189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9">
        <f>IFERROR(VLOOKUP(A122,[1]Biogasudbytte!$A$2:$B$18,2,FALSE)*[1]Energiindhold!$C$10,0)*J122*IFERROR(VLOOKUP(A122,Biogasanlæg!$F$3:$G$8,2,FALSE),1)</f>
        <v>0</v>
      </c>
      <c r="T122" s="190">
        <f t="shared" si="25"/>
        <v>0</v>
      </c>
      <c r="U122" s="188">
        <f>O122*IFERROR(VLOOKUP(A122,[1]Tørstofindhold!A$2:B$24,2,FALSE),0)</f>
        <v>0</v>
      </c>
      <c r="V122" s="189">
        <f>IF(D122=År1,P122,SUM(O122,P122))*IFERROR(VLOOKUP(A122,[1]Tørstofindhold!A$2:B$24,2,FALSE),0)</f>
        <v>0</v>
      </c>
      <c r="W122" s="189">
        <f>J122*IFERROR(VLOOKUP(A122,[1]Tørstofindhold!A$2:B$24,2,FALSE),0)</f>
        <v>0</v>
      </c>
      <c r="X122" s="190">
        <f t="shared" si="26"/>
        <v>0</v>
      </c>
      <c r="Y122" s="170">
        <f t="shared" ca="1" si="21"/>
        <v>1</v>
      </c>
      <c r="Z122" s="103">
        <f t="shared" ca="1" si="22"/>
        <v>0</v>
      </c>
    </row>
    <row r="123" spans="1:26" hidden="1" x14ac:dyDescent="0.25">
      <c r="A123" s="191" t="str">
        <f t="shared" si="33"/>
        <v>Kvæggylle</v>
      </c>
      <c r="B123" s="191" t="str">
        <f t="shared" si="34"/>
        <v>Husdyrgødning</v>
      </c>
      <c r="C123" s="191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1">
        <f t="shared" si="35"/>
        <v>2050</v>
      </c>
      <c r="E123" s="189" t="s">
        <v>23</v>
      </c>
      <c r="F123" s="192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5474759.0908073736</v>
      </c>
      <c r="G123" s="192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9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2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2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4927283.1817266364</v>
      </c>
      <c r="K123" s="192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547475.90908073727</v>
      </c>
      <c r="L123" s="192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6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1">
        <f t="shared" si="23"/>
        <v>0</v>
      </c>
      <c r="O123" s="192">
        <f t="shared" si="20"/>
        <v>0</v>
      </c>
      <c r="P123" s="202">
        <f t="shared" si="24"/>
        <v>4927283.1817266364</v>
      </c>
      <c r="Q123" s="189">
        <f>IFERROR(VLOOKUP(A123,[1]Energiindhold!$A$2:$C$11,3,FALSE),IFERROR(VLOOKUP(A123,[1]Biogasudbytte!$A$2:$B$18,2,FALSE)*[1]Energiindhold!$C$10,0))*O123</f>
        <v>0</v>
      </c>
      <c r="R123" s="189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2.4941414737582064</v>
      </c>
      <c r="S123" s="189">
        <f>IFERROR(VLOOKUP(A123,[1]Biogasudbytte!$A$2:$B$18,2,FALSE)*[1]Energiindhold!$C$10,0)*J123*IFERROR(VLOOKUP(A123,Biogasanlæg!$F$3:$G$8,2,FALSE),1)</f>
        <v>2.4941414737582064</v>
      </c>
      <c r="T123" s="190">
        <f t="shared" si="25"/>
        <v>0</v>
      </c>
      <c r="U123" s="188">
        <f>O123*IFERROR(VLOOKUP(A123,[1]Tørstofindhold!A$2:B$24,2,FALSE),0)</f>
        <v>0</v>
      </c>
      <c r="V123" s="189">
        <f>IF(D123=År1,P123,SUM(O123,P123))*IFERROR(VLOOKUP(A123,[1]Tørstofindhold!A$2:B$24,2,FALSE),0)</f>
        <v>374473.52181122435</v>
      </c>
      <c r="W123" s="189">
        <f>J123*IFERROR(VLOOKUP(A123,[1]Tørstofindhold!A$2:B$24,2,FALSE),0)</f>
        <v>374473.52181122435</v>
      </c>
      <c r="X123" s="190">
        <f t="shared" si="26"/>
        <v>0</v>
      </c>
      <c r="Y123" s="170">
        <f t="shared" si="21"/>
        <v>0</v>
      </c>
      <c r="Z123" s="103">
        <f t="shared" si="22"/>
        <v>0</v>
      </c>
    </row>
    <row r="124" spans="1:26" hidden="1" x14ac:dyDescent="0.25">
      <c r="A124" s="191" t="str">
        <f t="shared" si="33"/>
        <v>Mælk til foder</v>
      </c>
      <c r="B124" s="191" t="str">
        <f t="shared" si="34"/>
        <v/>
      </c>
      <c r="C124" s="191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1">
        <f t="shared" si="35"/>
        <v>2050</v>
      </c>
      <c r="E124" s="189" t="s">
        <v>23</v>
      </c>
      <c r="F124" s="192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687066.23012129939</v>
      </c>
      <c r="G124" s="192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777685.16963622137</v>
      </c>
      <c r="H124" s="189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2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2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2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2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6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1">
        <f t="shared" si="23"/>
        <v>-90618.939514921978</v>
      </c>
      <c r="O124" s="192">
        <f t="shared" si="20"/>
        <v>0</v>
      </c>
      <c r="P124" s="202">
        <f t="shared" si="24"/>
        <v>0</v>
      </c>
      <c r="Q124" s="189">
        <f>IFERROR(VLOOKUP(A124,[1]Energiindhold!$A$2:$C$11,3,FALSE),IFERROR(VLOOKUP(A124,[1]Biogasudbytte!$A$2:$B$18,2,FALSE)*[1]Energiindhold!$C$10,0))*O124</f>
        <v>0</v>
      </c>
      <c r="R124" s="189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9">
        <f>IFERROR(VLOOKUP(A124,[1]Biogasudbytte!$A$2:$B$18,2,FALSE)*[1]Energiindhold!$C$10,0)*J124*IFERROR(VLOOKUP(A124,Biogasanlæg!$F$3:$G$8,2,FALSE),1)</f>
        <v>0</v>
      </c>
      <c r="T124" s="190">
        <f t="shared" si="25"/>
        <v>0</v>
      </c>
      <c r="U124" s="188">
        <f>O124*IFERROR(VLOOKUP(A124,[1]Tørstofindhold!A$2:B$24,2,FALSE),0)</f>
        <v>0</v>
      </c>
      <c r="V124" s="189">
        <f>IF(D124=År1,P124,SUM(O124,P124))*IFERROR(VLOOKUP(A124,[1]Tørstofindhold!A$2:B$24,2,FALSE),0)</f>
        <v>0</v>
      </c>
      <c r="W124" s="189">
        <f>J124*IFERROR(VLOOKUP(A124,[1]Tørstofindhold!A$2:B$24,2,FALSE),0)</f>
        <v>0</v>
      </c>
      <c r="X124" s="190">
        <f t="shared" si="26"/>
        <v>0</v>
      </c>
      <c r="Y124" s="170">
        <f t="shared" si="21"/>
        <v>1</v>
      </c>
      <c r="Z124" s="103">
        <f t="shared" si="22"/>
        <v>0</v>
      </c>
    </row>
    <row r="125" spans="1:26" hidden="1" x14ac:dyDescent="0.25">
      <c r="A125" s="191" t="str">
        <f t="shared" si="33"/>
        <v>Majs</v>
      </c>
      <c r="B125" s="191" t="str">
        <f t="shared" si="34"/>
        <v>Græs og urter</v>
      </c>
      <c r="C125" s="191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1">
        <f t="shared" si="35"/>
        <v>2050</v>
      </c>
      <c r="E125" s="189" t="s">
        <v>23</v>
      </c>
      <c r="F125" s="192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2438121.5770907253</v>
      </c>
      <c r="G125" s="192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2930762.614221612</v>
      </c>
      <c r="H125" s="189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2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2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2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2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6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1">
        <f t="shared" si="23"/>
        <v>-492641.03713088669</v>
      </c>
      <c r="O125" s="192">
        <f t="shared" si="20"/>
        <v>0</v>
      </c>
      <c r="P125" s="202">
        <f t="shared" si="24"/>
        <v>0</v>
      </c>
      <c r="Q125" s="189">
        <f>IFERROR(VLOOKUP(A125,[1]Energiindhold!$A$2:$C$11,3,FALSE),IFERROR(VLOOKUP(A125,[1]Biogasudbytte!$A$2:$B$18,2,FALSE)*[1]Energiindhold!$C$10,0))*O125</f>
        <v>0</v>
      </c>
      <c r="R125" s="189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9">
        <f>IFERROR(VLOOKUP(A125,[1]Biogasudbytte!$A$2:$B$18,2,FALSE)*[1]Energiindhold!$C$10,0)*J125*IFERROR(VLOOKUP(A125,Biogasanlæg!$F$3:$G$8,2,FALSE),1)</f>
        <v>0</v>
      </c>
      <c r="T125" s="190">
        <f t="shared" si="25"/>
        <v>0</v>
      </c>
      <c r="U125" s="188">
        <f>O125*IFERROR(VLOOKUP(A125,[1]Tørstofindhold!A$2:B$24,2,FALSE),0)</f>
        <v>0</v>
      </c>
      <c r="V125" s="189">
        <f>IF(D125=År1,P125,SUM(O125,P125))*IFERROR(VLOOKUP(A125,[1]Tørstofindhold!A$2:B$24,2,FALSE),0)</f>
        <v>0</v>
      </c>
      <c r="W125" s="189">
        <f>J125*IFERROR(VLOOKUP(A125,[1]Tørstofindhold!A$2:B$24,2,FALSE),0)</f>
        <v>0</v>
      </c>
      <c r="X125" s="190">
        <f t="shared" si="26"/>
        <v>0</v>
      </c>
      <c r="Y125" s="170">
        <f t="shared" si="21"/>
        <v>0</v>
      </c>
      <c r="Z125" s="103">
        <f t="shared" si="22"/>
        <v>1</v>
      </c>
    </row>
    <row r="126" spans="1:26" hidden="1" x14ac:dyDescent="0.25">
      <c r="A126" s="191" t="str">
        <f t="shared" si="33"/>
        <v>Mejeriprodukter</v>
      </c>
      <c r="B126" s="191" t="str">
        <f t="shared" si="34"/>
        <v/>
      </c>
      <c r="C126" s="191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1">
        <f t="shared" si="35"/>
        <v>2050</v>
      </c>
      <c r="E126" s="189" t="s">
        <v>23</v>
      </c>
      <c r="F126" s="192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1325681.2440829689</v>
      </c>
      <c r="G126" s="192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9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2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2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2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2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6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1">
        <f t="shared" si="23"/>
        <v>834856.69522951904</v>
      </c>
      <c r="O126" s="192">
        <f t="shared" si="20"/>
        <v>0</v>
      </c>
      <c r="P126" s="202">
        <f t="shared" si="24"/>
        <v>0</v>
      </c>
      <c r="Q126" s="189">
        <f>IFERROR(VLOOKUP(A126,[1]Energiindhold!$A$2:$C$11,3,FALSE),IFERROR(VLOOKUP(A126,[1]Biogasudbytte!$A$2:$B$18,2,FALSE)*[1]Energiindhold!$C$10,0))*O126</f>
        <v>0</v>
      </c>
      <c r="R126" s="189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9">
        <f>IFERROR(VLOOKUP(A126,[1]Biogasudbytte!$A$2:$B$18,2,FALSE)*[1]Energiindhold!$C$10,0)*J126*IFERROR(VLOOKUP(A126,Biogasanlæg!$F$3:$G$8,2,FALSE),1)</f>
        <v>0</v>
      </c>
      <c r="T126" s="190">
        <f t="shared" si="25"/>
        <v>0</v>
      </c>
      <c r="U126" s="188">
        <f>O126*IFERROR(VLOOKUP(A126,[1]Tørstofindhold!A$2:B$24,2,FALSE),0)</f>
        <v>0</v>
      </c>
      <c r="V126" s="189">
        <f>IF(D126=År1,P126,SUM(O126,P126))*IFERROR(VLOOKUP(A126,[1]Tørstofindhold!A$2:B$24,2,FALSE),0)</f>
        <v>0</v>
      </c>
      <c r="W126" s="189">
        <f>J126*IFERROR(VLOOKUP(A126,[1]Tørstofindhold!A$2:B$24,2,FALSE),0)</f>
        <v>0</v>
      </c>
      <c r="X126" s="190">
        <f t="shared" si="26"/>
        <v>0</v>
      </c>
      <c r="Y126" s="170">
        <f t="shared" si="21"/>
        <v>0</v>
      </c>
      <c r="Z126" s="103">
        <f t="shared" si="22"/>
        <v>1</v>
      </c>
    </row>
    <row r="127" spans="1:26" hidden="1" x14ac:dyDescent="0.25">
      <c r="A127" s="191" t="str">
        <f t="shared" si="33"/>
        <v>Muslinger</v>
      </c>
      <c r="B127" s="191" t="str">
        <f t="shared" si="34"/>
        <v>Havbiomasse</v>
      </c>
      <c r="C127" s="191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1">
        <f t="shared" si="35"/>
        <v>2050</v>
      </c>
      <c r="E127" s="189" t="s">
        <v>23</v>
      </c>
      <c r="F127" s="192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162301.49863914726</v>
      </c>
      <c r="G127" s="192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9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2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2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2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2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6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1">
        <f t="shared" si="23"/>
        <v>162301.49863914726</v>
      </c>
      <c r="O127" s="192">
        <f t="shared" si="20"/>
        <v>162301.49863914726</v>
      </c>
      <c r="P127" s="202">
        <f t="shared" si="24"/>
        <v>0</v>
      </c>
      <c r="Q127" s="189">
        <f>IFERROR(VLOOKUP(A127,[1]Energiindhold!$A$2:$C$11,3,FALSE),IFERROR(VLOOKUP(A127,[1]Biogasudbytte!$A$2:$B$18,2,FALSE)*[1]Energiindhold!$C$10,0))*O127</f>
        <v>0.14566559502863469</v>
      </c>
      <c r="R127" s="189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0.14566559502863469</v>
      </c>
      <c r="S127" s="189">
        <f>IFERROR(VLOOKUP(A127,[1]Biogasudbytte!$A$2:$B$18,2,FALSE)*[1]Energiindhold!$C$10,0)*J127*IFERROR(VLOOKUP(A127,Biogasanlæg!$F$3:$G$8,2,FALSE),1)</f>
        <v>0</v>
      </c>
      <c r="T127" s="190">
        <f t="shared" si="25"/>
        <v>0.14566559502863469</v>
      </c>
      <c r="U127" s="188">
        <f>O127*IFERROR(VLOOKUP(A127,[1]Tørstofindhold!A$2:B$24,2,FALSE),0)</f>
        <v>24345.224795872087</v>
      </c>
      <c r="V127" s="189">
        <f>IF(D127=År1,P127,SUM(O127,P127))*IFERROR(VLOOKUP(A127,[1]Tørstofindhold!A$2:B$24,2,FALSE),0)</f>
        <v>24345.224795872087</v>
      </c>
      <c r="W127" s="189">
        <f>J127*IFERROR(VLOOKUP(A127,[1]Tørstofindhold!A$2:B$24,2,FALSE),0)</f>
        <v>0</v>
      </c>
      <c r="X127" s="190">
        <f t="shared" si="26"/>
        <v>24345.224795872087</v>
      </c>
      <c r="Y127" s="170">
        <f t="shared" si="21"/>
        <v>0</v>
      </c>
      <c r="Z127" s="103">
        <f t="shared" si="22"/>
        <v>1</v>
      </c>
    </row>
    <row r="128" spans="1:26" hidden="1" x14ac:dyDescent="0.25">
      <c r="A128" s="191" t="str">
        <f t="shared" si="33"/>
        <v>Oksekød</v>
      </c>
      <c r="B128" s="191" t="str">
        <f t="shared" si="34"/>
        <v/>
      </c>
      <c r="C128" s="191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1">
        <f t="shared" si="35"/>
        <v>2050</v>
      </c>
      <c r="E128" s="189" t="s">
        <v>23</v>
      </c>
      <c r="F128" s="192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39228.436179566699</v>
      </c>
      <c r="G128" s="192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9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2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31184.283836637289</v>
      </c>
      <c r="J128" s="192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2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2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6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1">
        <f t="shared" si="23"/>
        <v>8044.1523429294102</v>
      </c>
      <c r="O128" s="192">
        <f t="shared" si="20"/>
        <v>0</v>
      </c>
      <c r="P128" s="202">
        <f t="shared" si="24"/>
        <v>0</v>
      </c>
      <c r="Q128" s="189">
        <f>IFERROR(VLOOKUP(A128,[1]Energiindhold!$A$2:$C$11,3,FALSE),IFERROR(VLOOKUP(A128,[1]Biogasudbytte!$A$2:$B$18,2,FALSE)*[1]Energiindhold!$C$10,0))*O128</f>
        <v>0</v>
      </c>
      <c r="R128" s="189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9">
        <f>IFERROR(VLOOKUP(A128,[1]Biogasudbytte!$A$2:$B$18,2,FALSE)*[1]Energiindhold!$C$10,0)*J128*IFERROR(VLOOKUP(A128,Biogasanlæg!$F$3:$G$8,2,FALSE),1)</f>
        <v>0</v>
      </c>
      <c r="T128" s="190">
        <f t="shared" si="25"/>
        <v>0</v>
      </c>
      <c r="U128" s="188">
        <f>O128*IFERROR(VLOOKUP(A128,[1]Tørstofindhold!A$2:B$24,2,FALSE),0)</f>
        <v>0</v>
      </c>
      <c r="V128" s="189">
        <f>IF(D128=År1,P128,SUM(O128,P128))*IFERROR(VLOOKUP(A128,[1]Tørstofindhold!A$2:B$24,2,FALSE),0)</f>
        <v>0</v>
      </c>
      <c r="W128" s="189">
        <f>J128*IFERROR(VLOOKUP(A128,[1]Tørstofindhold!A$2:B$24,2,FALSE),0)</f>
        <v>0</v>
      </c>
      <c r="X128" s="190">
        <f t="shared" si="26"/>
        <v>0</v>
      </c>
      <c r="Y128" s="170">
        <f t="shared" si="21"/>
        <v>1</v>
      </c>
      <c r="Z128" s="103">
        <f t="shared" si="22"/>
        <v>0</v>
      </c>
    </row>
    <row r="129" spans="1:26" hidden="1" x14ac:dyDescent="0.25">
      <c r="A129" s="191" t="str">
        <f t="shared" si="33"/>
        <v>Øvrige</v>
      </c>
      <c r="B129" s="191" t="str">
        <f t="shared" si="34"/>
        <v/>
      </c>
      <c r="C129" s="191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1">
        <f t="shared" si="35"/>
        <v>2050</v>
      </c>
      <c r="E129" s="189" t="s">
        <v>23</v>
      </c>
      <c r="F129" s="192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979071.82930248126</v>
      </c>
      <c r="G129" s="192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9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2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2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2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2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6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1">
        <f t="shared" si="23"/>
        <v>979071.82930248126</v>
      </c>
      <c r="O129" s="192">
        <f t="shared" si="20"/>
        <v>0</v>
      </c>
      <c r="P129" s="202">
        <f t="shared" si="24"/>
        <v>0</v>
      </c>
      <c r="Q129" s="189">
        <f>IFERROR(VLOOKUP(A129,[1]Energiindhold!$A$2:$C$11,3,FALSE),IFERROR(VLOOKUP(A129,[1]Biogasudbytte!$A$2:$B$18,2,FALSE)*[1]Energiindhold!$C$10,0))*O129</f>
        <v>0</v>
      </c>
      <c r="R129" s="189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9">
        <f>IFERROR(VLOOKUP(A129,[1]Biogasudbytte!$A$2:$B$18,2,FALSE)*[1]Energiindhold!$C$10,0)*J129*IFERROR(VLOOKUP(A129,Biogasanlæg!$F$3:$G$8,2,FALSE),1)</f>
        <v>0</v>
      </c>
      <c r="T129" s="190">
        <f t="shared" si="25"/>
        <v>0</v>
      </c>
      <c r="U129" s="188">
        <f>O129*IFERROR(VLOOKUP(A129,[1]Tørstofindhold!A$2:B$24,2,FALSE),0)</f>
        <v>0</v>
      </c>
      <c r="V129" s="189">
        <f>IF(D129=År1,P129,SUM(O129,P129))*IFERROR(VLOOKUP(A129,[1]Tørstofindhold!A$2:B$24,2,FALSE),0)</f>
        <v>0</v>
      </c>
      <c r="W129" s="189">
        <f>J129*IFERROR(VLOOKUP(A129,[1]Tørstofindhold!A$2:B$24,2,FALSE),0)</f>
        <v>0</v>
      </c>
      <c r="X129" s="190">
        <f t="shared" si="26"/>
        <v>0</v>
      </c>
      <c r="Y129" s="170">
        <f t="shared" si="21"/>
        <v>0</v>
      </c>
      <c r="Z129" s="103">
        <f t="shared" si="22"/>
        <v>1</v>
      </c>
    </row>
    <row r="130" spans="1:26" hidden="1" x14ac:dyDescent="0.25">
      <c r="A130" s="191" t="str">
        <f t="shared" si="33"/>
        <v>Pil &amp; poppel</v>
      </c>
      <c r="B130" s="191" t="str">
        <f t="shared" si="34"/>
        <v>Vedmasse</v>
      </c>
      <c r="C130" s="191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1">
        <f t="shared" si="35"/>
        <v>2050</v>
      </c>
      <c r="E130" s="189" t="s">
        <v>23</v>
      </c>
      <c r="F130" s="192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83602.19105177233</v>
      </c>
      <c r="G130" s="192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9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2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2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2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2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83602.19105177233</v>
      </c>
      <c r="M130" s="156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1">
        <f t="shared" si="23"/>
        <v>0</v>
      </c>
      <c r="O130" s="192">
        <f t="shared" si="20"/>
        <v>0</v>
      </c>
      <c r="P130" s="202">
        <f t="shared" si="24"/>
        <v>83602.19105177233</v>
      </c>
      <c r="Q130" s="189">
        <f>IFERROR(VLOOKUP(A130,[1]Energiindhold!$A$2:$C$11,3,FALSE),IFERROR(VLOOKUP(A130,[1]Biogasudbytte!$A$2:$B$18,2,FALSE)*[1]Energiindhold!$C$10,0))*O130</f>
        <v>0</v>
      </c>
      <c r="R130" s="189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1.5382803153526106</v>
      </c>
      <c r="S130" s="189">
        <f>IFERROR(VLOOKUP(A130,[1]Biogasudbytte!$A$2:$B$18,2,FALSE)*[1]Energiindhold!$C$10,0)*J130*IFERROR(VLOOKUP(A130,Biogasanlæg!$F$3:$G$8,2,FALSE),1)</f>
        <v>0</v>
      </c>
      <c r="T130" s="190">
        <f t="shared" si="25"/>
        <v>1.5382803153526106</v>
      </c>
      <c r="U130" s="188">
        <f>O130*IFERROR(VLOOKUP(A130,[1]Tørstofindhold!A$2:B$24,2,FALSE),0)</f>
        <v>0</v>
      </c>
      <c r="V130" s="189">
        <f>IF(D130=År1,P130,SUM(O130,P130))*IFERROR(VLOOKUP(A130,[1]Tørstofindhold!A$2:B$24,2,FALSE),0)</f>
        <v>34694.909286485519</v>
      </c>
      <c r="W130" s="189">
        <f>J130*IFERROR(VLOOKUP(A130,[1]Tørstofindhold!A$2:B$24,2,FALSE),0)</f>
        <v>0</v>
      </c>
      <c r="X130" s="190">
        <f t="shared" si="26"/>
        <v>34694.909286485519</v>
      </c>
      <c r="Y130" s="170">
        <f t="shared" si="21"/>
        <v>0</v>
      </c>
      <c r="Z130" s="103">
        <f t="shared" si="22"/>
        <v>0</v>
      </c>
    </row>
    <row r="131" spans="1:26" hidden="1" x14ac:dyDescent="0.25">
      <c r="A131" s="191" t="str">
        <f t="shared" ref="A131:A132" si="36">A83</f>
        <v>Pyrolysegas</v>
      </c>
      <c r="B131" s="191" t="str">
        <f t="shared" ref="B131:B132" si="37">IF(B83&lt;&gt;"",B83,"")</f>
        <v>Pyrolyseprodukter</v>
      </c>
      <c r="C131" s="191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1">
        <f t="shared" si="35"/>
        <v>2050</v>
      </c>
      <c r="E131" s="189" t="s">
        <v>23</v>
      </c>
      <c r="F131" s="192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1003726.4153506849</v>
      </c>
      <c r="G131" s="192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9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2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2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2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2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1003726.4153506849</v>
      </c>
      <c r="M131" s="156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1">
        <f t="shared" ref="N131:N132" si="38">F131-SUM(G131:M131)</f>
        <v>0</v>
      </c>
      <c r="O131" s="192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2">
        <f t="shared" ref="P131:P132" si="40">SUM(J131,L131)</f>
        <v>1003726.4153506849</v>
      </c>
      <c r="Q131" s="189">
        <f>IFERROR(VLOOKUP(A131,[1]Energiindhold!$A$2:$C$11,3,FALSE),IFERROR(VLOOKUP(A131,[1]Biogasudbytte!$A$2:$B$18,2,FALSE)*[1]Energiindhold!$C$10,0))*O131</f>
        <v>0</v>
      </c>
      <c r="R131" s="189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8.9948225764212069</v>
      </c>
      <c r="S131" s="189">
        <f>IFERROR(VLOOKUP(A131,[1]Biogasudbytte!$A$2:$B$18,2,FALSE)*[1]Energiindhold!$C$10,0)*J131*IFERROR(VLOOKUP(A131,Biogasanlæg!$F$3:$G$8,2,FALSE),1)</f>
        <v>0</v>
      </c>
      <c r="T131" s="190">
        <f t="shared" ref="T131:T132" si="41">R131-S131</f>
        <v>8.9948225764212069</v>
      </c>
      <c r="U131" s="188">
        <f>O131*IFERROR(VLOOKUP(A131,[1]Tørstofindhold!A$2:B$24,2,FALSE),0)</f>
        <v>0</v>
      </c>
      <c r="V131" s="189">
        <f>IF(D131=År1,P131,SUM(O131,P131))*IFERROR(VLOOKUP(A131,[1]Tørstofindhold!A$2:B$24,2,FALSE),0)</f>
        <v>0</v>
      </c>
      <c r="W131" s="189">
        <f>J131*IFERROR(VLOOKUP(A131,[1]Tørstofindhold!A$2:B$24,2,FALSE),0)</f>
        <v>0</v>
      </c>
      <c r="X131" s="190">
        <f t="shared" ref="X131:X132" si="42">V131-W131</f>
        <v>0</v>
      </c>
      <c r="Y131" s="170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1" t="str">
        <f t="shared" si="36"/>
        <v>Pyrolyseolie</v>
      </c>
      <c r="B132" s="191" t="str">
        <f t="shared" si="37"/>
        <v>Pyrolyseprodukter</v>
      </c>
      <c r="C132" s="191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1">
        <f t="shared" si="35"/>
        <v>2050</v>
      </c>
      <c r="E132" s="189" t="s">
        <v>23</v>
      </c>
      <c r="F132" s="192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250931.60383767122</v>
      </c>
      <c r="G132" s="192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9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2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2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2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2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250931.60383767122</v>
      </c>
      <c r="M132" s="156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1">
        <f t="shared" si="38"/>
        <v>0</v>
      </c>
      <c r="O132" s="192">
        <f t="shared" si="39"/>
        <v>0</v>
      </c>
      <c r="P132" s="202">
        <f t="shared" si="40"/>
        <v>250931.60383767122</v>
      </c>
      <c r="Q132" s="189">
        <f>IFERROR(VLOOKUP(A132,[1]Energiindhold!$A$2:$C$11,3,FALSE),IFERROR(VLOOKUP(A132,[1]Biogasudbytte!$A$2:$B$18,2,FALSE)*[1]Energiindhold!$C$10,0))*O132</f>
        <v>0</v>
      </c>
      <c r="R132" s="189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8.3481359859595514</v>
      </c>
      <c r="S132" s="189">
        <f>IFERROR(VLOOKUP(A132,[1]Biogasudbytte!$A$2:$B$18,2,FALSE)*[1]Energiindhold!$C$10,0)*J132*IFERROR(VLOOKUP(A132,Biogasanlæg!$F$3:$G$8,2,FALSE),1)</f>
        <v>0</v>
      </c>
      <c r="T132" s="190">
        <f t="shared" si="41"/>
        <v>8.3481359859595514</v>
      </c>
      <c r="U132" s="188">
        <f>O132*IFERROR(VLOOKUP(A132,[1]Tørstofindhold!A$2:B$24,2,FALSE),0)</f>
        <v>0</v>
      </c>
      <c r="V132" s="189">
        <f>IF(D132=År1,P132,SUM(O132,P132))*IFERROR(VLOOKUP(A132,[1]Tørstofindhold!A$2:B$24,2,FALSE),0)</f>
        <v>0</v>
      </c>
      <c r="W132" s="189">
        <f>J132*IFERROR(VLOOKUP(A132,[1]Tørstofindhold!A$2:B$24,2,FALSE),0)</f>
        <v>0</v>
      </c>
      <c r="X132" s="190">
        <f t="shared" si="42"/>
        <v>0</v>
      </c>
      <c r="Y132" s="170">
        <f t="shared" si="43"/>
        <v>0</v>
      </c>
      <c r="Z132" s="103">
        <f t="shared" si="44"/>
        <v>0</v>
      </c>
    </row>
    <row r="133" spans="1:26" hidden="1" x14ac:dyDescent="0.25">
      <c r="A133" s="191" t="str">
        <f t="shared" ref="A133:A146" si="45">A85</f>
        <v>Råmælk</v>
      </c>
      <c r="B133" s="191" t="str">
        <f t="shared" ref="B133:B146" si="46">IF(B85&lt;&gt;"",B85,"")</f>
        <v/>
      </c>
      <c r="C133" s="191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1">
        <f t="shared" si="35"/>
        <v>2050</v>
      </c>
      <c r="E133" s="189" t="s">
        <v>23</v>
      </c>
      <c r="F133" s="192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2064356.3837992495</v>
      </c>
      <c r="G133" s="192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9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2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2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2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2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6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1">
        <f t="shared" si="23"/>
        <v>2064356.3837992495</v>
      </c>
      <c r="O133" s="192">
        <f t="shared" si="39"/>
        <v>0</v>
      </c>
      <c r="P133" s="202">
        <f t="shared" si="24"/>
        <v>0</v>
      </c>
      <c r="Q133" s="189">
        <f>IFERROR(VLOOKUP(A133,[1]Energiindhold!$A$2:$C$11,3,FALSE),IFERROR(VLOOKUP(A133,[1]Biogasudbytte!$A$2:$B$18,2,FALSE)*[1]Energiindhold!$C$10,0))*O133</f>
        <v>0</v>
      </c>
      <c r="R133" s="189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9">
        <f>IFERROR(VLOOKUP(A133,[1]Biogasudbytte!$A$2:$B$18,2,FALSE)*[1]Energiindhold!$C$10,0)*J133*IFERROR(VLOOKUP(A133,Biogasanlæg!$F$3:$G$8,2,FALSE),1)</f>
        <v>0</v>
      </c>
      <c r="T133" s="190">
        <f t="shared" si="25"/>
        <v>0</v>
      </c>
      <c r="U133" s="188">
        <f>O133*IFERROR(VLOOKUP(A133,[1]Tørstofindhold!A$2:B$24,2,FALSE),0)</f>
        <v>0</v>
      </c>
      <c r="V133" s="189">
        <f>IF(D133=År1,P133,SUM(O133,P133))*IFERROR(VLOOKUP(A133,[1]Tørstofindhold!A$2:B$24,2,FALSE),0)</f>
        <v>0</v>
      </c>
      <c r="W133" s="189">
        <f>J133*IFERROR(VLOOKUP(A133,[1]Tørstofindhold!A$2:B$24,2,FALSE),0)</f>
        <v>0</v>
      </c>
      <c r="X133" s="190">
        <f t="shared" si="26"/>
        <v>0</v>
      </c>
      <c r="Y133" s="170">
        <f t="shared" si="43"/>
        <v>0</v>
      </c>
      <c r="Z133" s="103">
        <f t="shared" si="44"/>
        <v>1</v>
      </c>
    </row>
    <row r="134" spans="1:26" hidden="1" x14ac:dyDescent="0.25">
      <c r="A134" s="191" t="str">
        <f t="shared" si="45"/>
        <v>Raps</v>
      </c>
      <c r="B134" s="191" t="str">
        <f t="shared" si="46"/>
        <v/>
      </c>
      <c r="C134" s="191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1">
        <f t="shared" si="35"/>
        <v>2050</v>
      </c>
      <c r="E134" s="189" t="s">
        <v>23</v>
      </c>
      <c r="F134" s="192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525662.49270451744</v>
      </c>
      <c r="G134" s="192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9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2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2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2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2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6">
        <f>SUMIFS('Forbrug af biomasse'!E:E,'Forbrug af biomasse'!C:C,'Resultat-Produktion &amp; forbrug'!$A134,'Forbrug af biomasse'!D:D,'Resultat-Produktion &amp; forbrug'!$D134,'Forbrug af biomasse'!G:G,1,'Forbrug af biomasse'!B:B,$E134)</f>
        <v>525662.49270451744</v>
      </c>
      <c r="N134" s="201">
        <f t="shared" si="23"/>
        <v>0</v>
      </c>
      <c r="O134" s="192">
        <f t="shared" si="39"/>
        <v>0</v>
      </c>
      <c r="P134" s="202">
        <f t="shared" si="24"/>
        <v>0</v>
      </c>
      <c r="Q134" s="189">
        <f>IFERROR(VLOOKUP(A134,[1]Energiindhold!$A$2:$C$11,3,FALSE),IFERROR(VLOOKUP(A134,[1]Biogasudbytte!$A$2:$B$18,2,FALSE)*[1]Energiindhold!$C$10,0))*O134</f>
        <v>0</v>
      </c>
      <c r="R134" s="189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9">
        <f>IFERROR(VLOOKUP(A134,[1]Biogasudbytte!$A$2:$B$18,2,FALSE)*[1]Energiindhold!$C$10,0)*J134*IFERROR(VLOOKUP(A134,Biogasanlæg!$F$3:$G$8,2,FALSE),1)</f>
        <v>0</v>
      </c>
      <c r="T134" s="190">
        <f t="shared" si="25"/>
        <v>0</v>
      </c>
      <c r="U134" s="188">
        <f>O134*IFERROR(VLOOKUP(A134,[1]Tørstofindhold!A$2:B$24,2,FALSE),0)</f>
        <v>0</v>
      </c>
      <c r="V134" s="189">
        <f>IF(D134=År1,P134,SUM(O134,P134))*IFERROR(VLOOKUP(A134,[1]Tørstofindhold!A$2:B$24,2,FALSE),0)</f>
        <v>0</v>
      </c>
      <c r="W134" s="189">
        <f>J134*IFERROR(VLOOKUP(A134,[1]Tørstofindhold!A$2:B$24,2,FALSE),0)</f>
        <v>0</v>
      </c>
      <c r="X134" s="190">
        <f t="shared" si="26"/>
        <v>0</v>
      </c>
      <c r="Y134" s="170">
        <f t="shared" si="43"/>
        <v>0</v>
      </c>
      <c r="Z134" s="103">
        <f t="shared" si="44"/>
        <v>0</v>
      </c>
    </row>
    <row r="135" spans="1:26" hidden="1" x14ac:dyDescent="0.25">
      <c r="A135" s="191" t="str">
        <f t="shared" si="45"/>
        <v>Rapskage</v>
      </c>
      <c r="B135" s="191" t="str">
        <f t="shared" si="46"/>
        <v/>
      </c>
      <c r="C135" s="191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1">
        <f t="shared" si="35"/>
        <v>2050</v>
      </c>
      <c r="E135" s="189" t="s">
        <v>23</v>
      </c>
      <c r="F135" s="192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262831.24635225872</v>
      </c>
      <c r="G135" s="192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317451.28833478229</v>
      </c>
      <c r="H135" s="189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2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2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2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2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6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1">
        <f t="shared" si="23"/>
        <v>-54620.041982523573</v>
      </c>
      <c r="O135" s="192">
        <f t="shared" si="39"/>
        <v>0</v>
      </c>
      <c r="P135" s="202">
        <f t="shared" si="24"/>
        <v>0</v>
      </c>
      <c r="Q135" s="189">
        <f>IFERROR(VLOOKUP(A135,[1]Energiindhold!$A$2:$C$11,3,FALSE),IFERROR(VLOOKUP(A135,[1]Biogasudbytte!$A$2:$B$18,2,FALSE)*[1]Energiindhold!$C$10,0))*O135</f>
        <v>0</v>
      </c>
      <c r="R135" s="189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9">
        <f>IFERROR(VLOOKUP(A135,[1]Biogasudbytte!$A$2:$B$18,2,FALSE)*[1]Energiindhold!$C$10,0)*J135*IFERROR(VLOOKUP(A135,Biogasanlæg!$F$3:$G$8,2,FALSE),1)</f>
        <v>0</v>
      </c>
      <c r="T135" s="190">
        <f t="shared" si="25"/>
        <v>0</v>
      </c>
      <c r="U135" s="188">
        <f>O135*IFERROR(VLOOKUP(A135,[1]Tørstofindhold!A$2:B$24,2,FALSE),0)</f>
        <v>0</v>
      </c>
      <c r="V135" s="189">
        <f>IF(D135=År1,P135,SUM(O135,P135))*IFERROR(VLOOKUP(A135,[1]Tørstofindhold!A$2:B$24,2,FALSE),0)</f>
        <v>0</v>
      </c>
      <c r="W135" s="189">
        <f>J135*IFERROR(VLOOKUP(A135,[1]Tørstofindhold!A$2:B$24,2,FALSE),0)</f>
        <v>0</v>
      </c>
      <c r="X135" s="190">
        <f t="shared" si="26"/>
        <v>0</v>
      </c>
      <c r="Y135" s="170">
        <f t="shared" si="43"/>
        <v>0</v>
      </c>
      <c r="Z135" s="103">
        <f t="shared" si="44"/>
        <v>1</v>
      </c>
    </row>
    <row r="136" spans="1:26" hidden="1" x14ac:dyDescent="0.25">
      <c r="A136" s="191" t="str">
        <f t="shared" si="45"/>
        <v>Rapsolie</v>
      </c>
      <c r="B136" s="191" t="str">
        <f t="shared" si="46"/>
        <v>Rapsolie</v>
      </c>
      <c r="C136" s="191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1">
        <f t="shared" si="35"/>
        <v>2050</v>
      </c>
      <c r="E136" s="189" t="s">
        <v>23</v>
      </c>
      <c r="F136" s="192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168211.99766544558</v>
      </c>
      <c r="G136" s="192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9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2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2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2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2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168211.99766544558</v>
      </c>
      <c r="M136" s="156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1">
        <f t="shared" si="23"/>
        <v>0</v>
      </c>
      <c r="O136" s="192">
        <f t="shared" si="39"/>
        <v>0</v>
      </c>
      <c r="P136" s="202">
        <f t="shared" si="24"/>
        <v>168211.99766544558</v>
      </c>
      <c r="Q136" s="189">
        <f>IFERROR(VLOOKUP(A136,[1]Energiindhold!$A$2:$C$11,3,FALSE),IFERROR(VLOOKUP(A136,[1]Biogasudbytte!$A$2:$B$18,2,FALSE)*[1]Energiindhold!$C$10,0))*O136</f>
        <v>0</v>
      </c>
      <c r="R136" s="189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5.8874199182905951</v>
      </c>
      <c r="S136" s="189">
        <f>IFERROR(VLOOKUP(A136,[1]Biogasudbytte!$A$2:$B$18,2,FALSE)*[1]Energiindhold!$C$10,0)*J136*IFERROR(VLOOKUP(A136,Biogasanlæg!$F$3:$G$8,2,FALSE),1)</f>
        <v>0</v>
      </c>
      <c r="T136" s="190">
        <f t="shared" si="25"/>
        <v>5.8874199182905951</v>
      </c>
      <c r="U136" s="188">
        <f>O136*IFERROR(VLOOKUP(A136,[1]Tørstofindhold!A$2:B$24,2,FALSE),0)</f>
        <v>0</v>
      </c>
      <c r="V136" s="189">
        <f>IF(D136=År1,P136,SUM(O136,P136))*IFERROR(VLOOKUP(A136,[1]Tørstofindhold!A$2:B$24,2,FALSE),0)</f>
        <v>0</v>
      </c>
      <c r="W136" s="189">
        <f>J136*IFERROR(VLOOKUP(A136,[1]Tørstofindhold!A$2:B$24,2,FALSE),0)</f>
        <v>0</v>
      </c>
      <c r="X136" s="190">
        <f t="shared" si="26"/>
        <v>0</v>
      </c>
      <c r="Y136" s="170">
        <f t="shared" si="43"/>
        <v>0</v>
      </c>
      <c r="Z136" s="103">
        <f t="shared" si="44"/>
        <v>0</v>
      </c>
    </row>
    <row r="137" spans="1:26" hidden="1" x14ac:dyDescent="0.25">
      <c r="A137" s="191" t="str">
        <f t="shared" si="45"/>
        <v>Roer</v>
      </c>
      <c r="B137" s="191" t="str">
        <f t="shared" si="46"/>
        <v>Græs og urter</v>
      </c>
      <c r="C137" s="191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1">
        <f t="shared" si="35"/>
        <v>2050</v>
      </c>
      <c r="E137" s="189" t="s">
        <v>23</v>
      </c>
      <c r="F137" s="192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477307.40969257313</v>
      </c>
      <c r="G137" s="192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447226.91507025005</v>
      </c>
      <c r="H137" s="189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2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2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2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2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6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1">
        <f t="shared" si="23"/>
        <v>30080.49462232308</v>
      </c>
      <c r="O137" s="192">
        <f t="shared" si="39"/>
        <v>30080.49462232308</v>
      </c>
      <c r="P137" s="202">
        <f t="shared" si="24"/>
        <v>0</v>
      </c>
      <c r="Q137" s="189">
        <f>IFERROR(VLOOKUP(A137,[1]Energiindhold!$A$2:$C$11,3,FALSE),IFERROR(VLOOKUP(A137,[1]Biogasudbytte!$A$2:$B$18,2,FALSE)*[1]Energiindhold!$C$10,0))*O137</f>
        <v>8.1639665624769736E-2</v>
      </c>
      <c r="R137" s="189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8.1639665624769736E-2</v>
      </c>
      <c r="S137" s="189">
        <f>IFERROR(VLOOKUP(A137,[1]Biogasudbytte!$A$2:$B$18,2,FALSE)*[1]Energiindhold!$C$10,0)*J137*IFERROR(VLOOKUP(A137,Biogasanlæg!$F$3:$G$8,2,FALSE),1)</f>
        <v>0</v>
      </c>
      <c r="T137" s="190">
        <f t="shared" si="25"/>
        <v>8.1639665624769736E-2</v>
      </c>
      <c r="U137" s="188">
        <f>O137*IFERROR(VLOOKUP(A137,[1]Tørstofindhold!A$2:B$24,2,FALSE),0)</f>
        <v>6016.0989244646162</v>
      </c>
      <c r="V137" s="189">
        <f>IF(D137=År1,P137,SUM(O137,P137))*IFERROR(VLOOKUP(A137,[1]Tørstofindhold!A$2:B$24,2,FALSE),0)</f>
        <v>6016.0989244646162</v>
      </c>
      <c r="W137" s="189">
        <f>J137*IFERROR(VLOOKUP(A137,[1]Tørstofindhold!A$2:B$24,2,FALSE),0)</f>
        <v>0</v>
      </c>
      <c r="X137" s="190">
        <f t="shared" si="26"/>
        <v>6016.0989244646162</v>
      </c>
      <c r="Y137" s="170">
        <f t="shared" si="43"/>
        <v>0</v>
      </c>
      <c r="Z137" s="103">
        <f t="shared" si="44"/>
        <v>1</v>
      </c>
    </row>
    <row r="138" spans="1:26" hidden="1" x14ac:dyDescent="0.25">
      <c r="A138" s="191" t="str">
        <f t="shared" si="45"/>
        <v>Slagteriaffald til andet</v>
      </c>
      <c r="B138" s="191" t="str">
        <f t="shared" si="46"/>
        <v/>
      </c>
      <c r="C138" s="191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1">
        <f t="shared" si="35"/>
        <v>2050</v>
      </c>
      <c r="E138" s="189" t="s">
        <v>23</v>
      </c>
      <c r="F138" s="192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68183.93816497142</v>
      </c>
      <c r="G138" s="192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9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2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2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2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2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6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1">
        <f t="shared" si="23"/>
        <v>68183.93816497142</v>
      </c>
      <c r="O138" s="192">
        <f t="shared" si="39"/>
        <v>0</v>
      </c>
      <c r="P138" s="202">
        <f t="shared" si="24"/>
        <v>0</v>
      </c>
      <c r="Q138" s="189">
        <f>IFERROR(VLOOKUP(A138,[1]Energiindhold!$A$2:$C$11,3,FALSE),IFERROR(VLOOKUP(A138,[1]Biogasudbytte!$A$2:$B$18,2,FALSE)*[1]Energiindhold!$C$10,0))*O138</f>
        <v>0</v>
      </c>
      <c r="R138" s="189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9">
        <f>IFERROR(VLOOKUP(A138,[1]Biogasudbytte!$A$2:$B$18,2,FALSE)*[1]Energiindhold!$C$10,0)*J138*IFERROR(VLOOKUP(A138,Biogasanlæg!$F$3:$G$8,2,FALSE),1)</f>
        <v>0</v>
      </c>
      <c r="T138" s="190">
        <f t="shared" si="25"/>
        <v>0</v>
      </c>
      <c r="U138" s="188">
        <f>O138*IFERROR(VLOOKUP(A138,[1]Tørstofindhold!A$2:B$24,2,FALSE),0)</f>
        <v>0</v>
      </c>
      <c r="V138" s="189">
        <f>IF(D138=År1,P138,SUM(O138,P138))*IFERROR(VLOOKUP(A138,[1]Tørstofindhold!A$2:B$24,2,FALSE),0)</f>
        <v>0</v>
      </c>
      <c r="W138" s="189">
        <f>J138*IFERROR(VLOOKUP(A138,[1]Tørstofindhold!A$2:B$24,2,FALSE),0)</f>
        <v>0</v>
      </c>
      <c r="X138" s="190">
        <f t="shared" si="26"/>
        <v>0</v>
      </c>
      <c r="Y138" s="170">
        <f t="shared" si="43"/>
        <v>0</v>
      </c>
      <c r="Z138" s="103">
        <f t="shared" si="44"/>
        <v>1</v>
      </c>
    </row>
    <row r="139" spans="1:26" hidden="1" x14ac:dyDescent="0.25">
      <c r="A139" s="191" t="str">
        <f t="shared" si="45"/>
        <v>Slagteriaffald til foder</v>
      </c>
      <c r="B139" s="191" t="str">
        <f t="shared" si="46"/>
        <v/>
      </c>
      <c r="C139" s="191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1">
        <f t="shared" si="35"/>
        <v>2050</v>
      </c>
      <c r="E139" s="189" t="s">
        <v>23</v>
      </c>
      <c r="F139" s="192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45453.227411200656</v>
      </c>
      <c r="G139" s="192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19813.247781600003</v>
      </c>
      <c r="H139" s="189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2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2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2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2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6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1">
        <f t="shared" si="23"/>
        <v>25639.979629600653</v>
      </c>
      <c r="O139" s="192">
        <f t="shared" si="39"/>
        <v>0</v>
      </c>
      <c r="P139" s="202">
        <f t="shared" si="24"/>
        <v>0</v>
      </c>
      <c r="Q139" s="189">
        <f>IFERROR(VLOOKUP(A139,[1]Energiindhold!$A$2:$C$11,3,FALSE),IFERROR(VLOOKUP(A139,[1]Biogasudbytte!$A$2:$B$18,2,FALSE)*[1]Energiindhold!$C$10,0))*O139</f>
        <v>0</v>
      </c>
      <c r="R139" s="189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9">
        <f>IFERROR(VLOOKUP(A139,[1]Biogasudbytte!$A$2:$B$18,2,FALSE)*[1]Energiindhold!$C$10,0)*J139*IFERROR(VLOOKUP(A139,Biogasanlæg!$F$3:$G$8,2,FALSE),1)</f>
        <v>0</v>
      </c>
      <c r="T139" s="190">
        <f t="shared" si="25"/>
        <v>0</v>
      </c>
      <c r="U139" s="188">
        <f>O139*IFERROR(VLOOKUP(A139,[1]Tørstofindhold!A$2:B$24,2,FALSE),0)</f>
        <v>0</v>
      </c>
      <c r="V139" s="189">
        <f>IF(D139=År1,P139,SUM(O139,P139))*IFERROR(VLOOKUP(A139,[1]Tørstofindhold!A$2:B$24,2,FALSE),0)</f>
        <v>0</v>
      </c>
      <c r="W139" s="189">
        <f>J139*IFERROR(VLOOKUP(A139,[1]Tørstofindhold!A$2:B$24,2,FALSE),0)</f>
        <v>0</v>
      </c>
      <c r="X139" s="190">
        <f t="shared" si="26"/>
        <v>0</v>
      </c>
      <c r="Y139" s="170">
        <f t="shared" si="43"/>
        <v>0</v>
      </c>
      <c r="Z139" s="103">
        <f t="shared" si="44"/>
        <v>1</v>
      </c>
    </row>
    <row r="140" spans="1:26" hidden="1" x14ac:dyDescent="0.25">
      <c r="A140" s="191" t="str">
        <f t="shared" si="45"/>
        <v>Spildevandsslam</v>
      </c>
      <c r="B140" s="191" t="str">
        <f t="shared" si="46"/>
        <v>Bionedbrydeligt affald</v>
      </c>
      <c r="C140" s="191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1">
        <f t="shared" si="35"/>
        <v>2050</v>
      </c>
      <c r="E140" s="189" t="s">
        <v>23</v>
      </c>
      <c r="F140" s="192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4053942.458256661</v>
      </c>
      <c r="G140" s="192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9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2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2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3648548.212430995</v>
      </c>
      <c r="K140" s="192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2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6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1">
        <f t="shared" si="23"/>
        <v>405394.245825666</v>
      </c>
      <c r="O140" s="192">
        <f t="shared" si="39"/>
        <v>405394.245825666</v>
      </c>
      <c r="P140" s="202">
        <f t="shared" si="24"/>
        <v>3648548.212430995</v>
      </c>
      <c r="Q140" s="189">
        <f>IFERROR(VLOOKUP(A140,[1]Energiindhold!$A$2:$C$11,3,FALSE),IFERROR(VLOOKUP(A140,[1]Biogasudbytte!$A$2:$B$18,2,FALSE)*[1]Energiindhold!$C$10,0))*O140</f>
        <v>0.20229578260946562</v>
      </c>
      <c r="R140" s="189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2.0229578260946566</v>
      </c>
      <c r="S140" s="189">
        <f>IFERROR(VLOOKUP(A140,[1]Biogasudbytte!$A$2:$B$18,2,FALSE)*[1]Energiindhold!$C$10,0)*J140*IFERROR(VLOOKUP(A140,Biogasanlæg!$F$3:$G$8,2,FALSE),1)</f>
        <v>1.820662043485191</v>
      </c>
      <c r="T140" s="190">
        <f t="shared" si="25"/>
        <v>0.20229578260946557</v>
      </c>
      <c r="U140" s="188">
        <f>O140*IFERROR(VLOOKUP(A140,[1]Tørstofindhold!A$2:B$24,2,FALSE),0)</f>
        <v>24323.654749539961</v>
      </c>
      <c r="V140" s="189">
        <f>IF(D140=År1,P140,SUM(O140,P140))*IFERROR(VLOOKUP(A140,[1]Tørstofindhold!A$2:B$24,2,FALSE),0)</f>
        <v>243236.54749539966</v>
      </c>
      <c r="W140" s="189">
        <f>J140*IFERROR(VLOOKUP(A140,[1]Tørstofindhold!A$2:B$24,2,FALSE),0)</f>
        <v>218912.89274585969</v>
      </c>
      <c r="X140" s="190">
        <f t="shared" si="26"/>
        <v>24323.654749539972</v>
      </c>
      <c r="Y140" s="170">
        <f t="shared" si="43"/>
        <v>0</v>
      </c>
      <c r="Z140" s="103">
        <f t="shared" si="44"/>
        <v>1</v>
      </c>
    </row>
    <row r="141" spans="1:26" hidden="1" x14ac:dyDescent="0.25">
      <c r="A141" s="191" t="str">
        <f t="shared" si="45"/>
        <v>Svinegylle</v>
      </c>
      <c r="B141" s="191" t="str">
        <f t="shared" si="46"/>
        <v>Husdyrgødning</v>
      </c>
      <c r="C141" s="191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1">
        <f t="shared" si="35"/>
        <v>2050</v>
      </c>
      <c r="E141" s="189" t="s">
        <v>23</v>
      </c>
      <c r="F141" s="192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4015883.8018844402</v>
      </c>
      <c r="G141" s="192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9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2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2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3614295.4216959961</v>
      </c>
      <c r="K141" s="192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401588.38018844387</v>
      </c>
      <c r="L141" s="192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6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1">
        <f t="shared" si="23"/>
        <v>0</v>
      </c>
      <c r="O141" s="192">
        <f t="shared" si="39"/>
        <v>0</v>
      </c>
      <c r="P141" s="202">
        <f t="shared" si="24"/>
        <v>3614295.4216959961</v>
      </c>
      <c r="Q141" s="189">
        <f>IFERROR(VLOOKUP(A141,[1]Energiindhold!$A$2:$C$11,3,FALSE),IFERROR(VLOOKUP(A141,[1]Biogasudbytte!$A$2:$B$18,2,FALSE)*[1]Energiindhold!$C$10,0))*O141</f>
        <v>0</v>
      </c>
      <c r="R141" s="189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1.5570384676666353</v>
      </c>
      <c r="S141" s="189">
        <f>IFERROR(VLOOKUP(A141,[1]Biogasudbytte!$A$2:$B$18,2,FALSE)*[1]Energiindhold!$C$10,0)*J141*IFERROR(VLOOKUP(A141,Biogasanlæg!$F$3:$G$8,2,FALSE),1)</f>
        <v>1.5570384676666353</v>
      </c>
      <c r="T141" s="190">
        <f t="shared" si="25"/>
        <v>0</v>
      </c>
      <c r="U141" s="188">
        <f>O141*IFERROR(VLOOKUP(A141,[1]Tørstofindhold!A$2:B$24,2,FALSE),0)</f>
        <v>0</v>
      </c>
      <c r="V141" s="189">
        <f>IF(D141=År1,P141,SUM(O141,P141))*IFERROR(VLOOKUP(A141,[1]Tørstofindhold!A$2:B$24,2,FALSE),0)</f>
        <v>180714.77108479981</v>
      </c>
      <c r="W141" s="189">
        <f>J141*IFERROR(VLOOKUP(A141,[1]Tørstofindhold!A$2:B$24,2,FALSE),0)</f>
        <v>180714.77108479981</v>
      </c>
      <c r="X141" s="190">
        <f t="shared" si="26"/>
        <v>0</v>
      </c>
      <c r="Y141" s="170">
        <f t="shared" si="43"/>
        <v>0</v>
      </c>
      <c r="Z141" s="103">
        <f t="shared" si="44"/>
        <v>0</v>
      </c>
    </row>
    <row r="142" spans="1:26" hidden="1" x14ac:dyDescent="0.25">
      <c r="A142" s="191" t="str">
        <f t="shared" si="45"/>
        <v>Svinekød</v>
      </c>
      <c r="B142" s="191" t="str">
        <f t="shared" si="46"/>
        <v/>
      </c>
      <c r="C142" s="191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1">
        <f t="shared" si="35"/>
        <v>2050</v>
      </c>
      <c r="E142" s="189" t="s">
        <v>23</v>
      </c>
      <c r="F142" s="192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481498.00991175236</v>
      </c>
      <c r="G142" s="192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9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2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63313.545971354491</v>
      </c>
      <c r="J142" s="192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2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2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6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1">
        <f t="shared" si="23"/>
        <v>418184.46394039789</v>
      </c>
      <c r="O142" s="192">
        <f t="shared" si="39"/>
        <v>0</v>
      </c>
      <c r="P142" s="202">
        <f t="shared" si="24"/>
        <v>0</v>
      </c>
      <c r="Q142" s="189">
        <f>IFERROR(VLOOKUP(A142,[1]Energiindhold!$A$2:$C$11,3,FALSE),IFERROR(VLOOKUP(A142,[1]Biogasudbytte!$A$2:$B$18,2,FALSE)*[1]Energiindhold!$C$10,0))*O142</f>
        <v>0</v>
      </c>
      <c r="R142" s="189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9">
        <f>IFERROR(VLOOKUP(A142,[1]Biogasudbytte!$A$2:$B$18,2,FALSE)*[1]Energiindhold!$C$10,0)*J142*IFERROR(VLOOKUP(A142,Biogasanlæg!$F$3:$G$8,2,FALSE),1)</f>
        <v>0</v>
      </c>
      <c r="T142" s="190">
        <f t="shared" si="25"/>
        <v>0</v>
      </c>
      <c r="U142" s="188">
        <f>O142*IFERROR(VLOOKUP(A142,[1]Tørstofindhold!A$2:B$24,2,FALSE),0)</f>
        <v>0</v>
      </c>
      <c r="V142" s="189">
        <f>IF(D142=År1,P142,SUM(O142,P142))*IFERROR(VLOOKUP(A142,[1]Tørstofindhold!A$2:B$24,2,FALSE),0)</f>
        <v>0</v>
      </c>
      <c r="W142" s="189">
        <f>J142*IFERROR(VLOOKUP(A142,[1]Tørstofindhold!A$2:B$24,2,FALSE),0)</f>
        <v>0</v>
      </c>
      <c r="X142" s="190">
        <f t="shared" si="26"/>
        <v>0</v>
      </c>
      <c r="Y142" s="170">
        <f t="shared" si="43"/>
        <v>0</v>
      </c>
      <c r="Z142" s="103">
        <f t="shared" si="44"/>
        <v>1</v>
      </c>
    </row>
    <row r="143" spans="1:26" hidden="1" x14ac:dyDescent="0.25">
      <c r="A143" s="191" t="str">
        <f t="shared" si="45"/>
        <v>Tang</v>
      </c>
      <c r="B143" s="191" t="str">
        <f t="shared" si="46"/>
        <v>Havbiomasse</v>
      </c>
      <c r="C143" s="191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1">
        <f t="shared" si="35"/>
        <v>2050</v>
      </c>
      <c r="E143" s="189" t="s">
        <v>23</v>
      </c>
      <c r="F143" s="192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10125</v>
      </c>
      <c r="G143" s="192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9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2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2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2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2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6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1">
        <f t="shared" si="23"/>
        <v>10125</v>
      </c>
      <c r="O143" s="192">
        <f t="shared" si="39"/>
        <v>10125</v>
      </c>
      <c r="P143" s="202">
        <f t="shared" si="24"/>
        <v>0</v>
      </c>
      <c r="Q143" s="189">
        <f>IFERROR(VLOOKUP(A143,[1]Energiindhold!$A$2:$C$11,3,FALSE),IFERROR(VLOOKUP(A143,[1]Biogasudbytte!$A$2:$B$18,2,FALSE)*[1]Energiindhold!$C$10,0))*O143</f>
        <v>9.0871875000000015E-3</v>
      </c>
      <c r="R143" s="189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9.0871875000000015E-3</v>
      </c>
      <c r="S143" s="189">
        <f>IFERROR(VLOOKUP(A143,[1]Biogasudbytte!$A$2:$B$18,2,FALSE)*[1]Energiindhold!$C$10,0)*J143*IFERROR(VLOOKUP(A143,Biogasanlæg!$F$3:$G$8,2,FALSE),1)</f>
        <v>0</v>
      </c>
      <c r="T143" s="190">
        <f t="shared" si="25"/>
        <v>9.0871875000000015E-3</v>
      </c>
      <c r="U143" s="188">
        <f>O143*IFERROR(VLOOKUP(A143,[1]Tørstofindhold!A$2:B$24,2,FALSE),0)</f>
        <v>1518.75</v>
      </c>
      <c r="V143" s="189">
        <f>IF(D143=År1,P143,SUM(O143,P143))*IFERROR(VLOOKUP(A143,[1]Tørstofindhold!A$2:B$24,2,FALSE),0)</f>
        <v>1518.75</v>
      </c>
      <c r="W143" s="189">
        <f>J143*IFERROR(VLOOKUP(A143,[1]Tørstofindhold!A$2:B$24,2,FALSE),0)</f>
        <v>0</v>
      </c>
      <c r="X143" s="190">
        <f t="shared" si="26"/>
        <v>1518.75</v>
      </c>
      <c r="Y143" s="170">
        <f t="shared" si="43"/>
        <v>0</v>
      </c>
      <c r="Z143" s="103">
        <f t="shared" si="44"/>
        <v>1</v>
      </c>
    </row>
    <row r="144" spans="1:26" hidden="1" x14ac:dyDescent="0.25">
      <c r="A144" s="191" t="str">
        <f t="shared" si="45"/>
        <v>Total til biogas</v>
      </c>
      <c r="B144" s="191" t="str">
        <f t="shared" si="46"/>
        <v/>
      </c>
      <c r="C144" s="191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1">
        <f t="shared" si="35"/>
        <v>2050</v>
      </c>
      <c r="E144" s="189" t="s">
        <v>23</v>
      </c>
      <c r="F144" s="192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2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9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2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2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2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2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6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1">
        <f t="shared" si="23"/>
        <v>0</v>
      </c>
      <c r="O144" s="192">
        <f t="shared" si="39"/>
        <v>0</v>
      </c>
      <c r="P144" s="202">
        <f t="shared" si="24"/>
        <v>0</v>
      </c>
      <c r="Q144" s="189">
        <f>IFERROR(VLOOKUP(A144,[1]Energiindhold!$A$2:$C$11,3,FALSE),IFERROR(VLOOKUP(A144,[1]Biogasudbytte!$A$2:$B$18,2,FALSE)*[1]Energiindhold!$C$10,0))*O144</f>
        <v>0</v>
      </c>
      <c r="R144" s="189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9">
        <f>IFERROR(VLOOKUP(A144,[1]Biogasudbytte!$A$2:$B$18,2,FALSE)*[1]Energiindhold!$C$10,0)*J144*IFERROR(VLOOKUP(A144,Biogasanlæg!$F$3:$G$8,2,FALSE),1)</f>
        <v>0</v>
      </c>
      <c r="T144" s="190">
        <f t="shared" si="25"/>
        <v>0</v>
      </c>
      <c r="U144" s="188">
        <f>O144*IFERROR(VLOOKUP(A144,[1]Tørstofindhold!A$2:B$24,2,FALSE),0)</f>
        <v>0</v>
      </c>
      <c r="V144" s="189">
        <f>IF(D144=År1,P144,SUM(O144,P144))*IFERROR(VLOOKUP(A144,[1]Tørstofindhold!A$2:B$24,2,FALSE),0)</f>
        <v>0</v>
      </c>
      <c r="W144" s="189">
        <f>J144*IFERROR(VLOOKUP(A144,[1]Tørstofindhold!A$2:B$24,2,FALSE),0)</f>
        <v>0</v>
      </c>
      <c r="X144" s="190">
        <f t="shared" si="26"/>
        <v>0</v>
      </c>
      <c r="Y144" s="170">
        <f t="shared" si="43"/>
        <v>0</v>
      </c>
      <c r="Z144" s="103">
        <f t="shared" si="44"/>
        <v>0</v>
      </c>
    </row>
    <row r="145" spans="1:26" hidden="1" x14ac:dyDescent="0.25">
      <c r="A145" s="191" t="str">
        <f t="shared" si="45"/>
        <v>Træ til energi</v>
      </c>
      <c r="B145" s="191" t="str">
        <f t="shared" si="46"/>
        <v>Vedmasse</v>
      </c>
      <c r="C145" s="191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1">
        <f t="shared" si="35"/>
        <v>2050</v>
      </c>
      <c r="E145" s="189" t="s">
        <v>23</v>
      </c>
      <c r="F145" s="192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2341876.9484984945</v>
      </c>
      <c r="G145" s="192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9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2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2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2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2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2341876.9484984945</v>
      </c>
      <c r="M145" s="156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1">
        <f t="shared" si="23"/>
        <v>0</v>
      </c>
      <c r="O145" s="192">
        <f t="shared" si="39"/>
        <v>0</v>
      </c>
      <c r="P145" s="202">
        <f t="shared" si="24"/>
        <v>2341876.9484984945</v>
      </c>
      <c r="Q145" s="189">
        <f>IFERROR(VLOOKUP(A145,[1]Energiindhold!$A$2:$C$11,3,FALSE),IFERROR(VLOOKUP(A145,[1]Biogasudbytte!$A$2:$B$18,2,FALSE)*[1]Energiindhold!$C$10,0))*O145</f>
        <v>0</v>
      </c>
      <c r="R145" s="189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33.942154910200387</v>
      </c>
      <c r="S145" s="189">
        <f>IFERROR(VLOOKUP(A145,[1]Biogasudbytte!$A$2:$B$18,2,FALSE)*[1]Energiindhold!$C$10,0)*J145*IFERROR(VLOOKUP(A145,Biogasanlæg!$F$3:$G$8,2,FALSE),1)</f>
        <v>0</v>
      </c>
      <c r="T145" s="190">
        <f t="shared" si="25"/>
        <v>33.942154910200387</v>
      </c>
      <c r="U145" s="188">
        <f>O145*IFERROR(VLOOKUP(A145,[1]Tørstofindhold!A$2:B$24,2,FALSE),0)</f>
        <v>0</v>
      </c>
      <c r="V145" s="189">
        <f>IF(D145=År1,P145,SUM(O145,P145))*IFERROR(VLOOKUP(A145,[1]Tørstofindhold!A$2:B$24,2,FALSE),0)</f>
        <v>1158253.3074448803</v>
      </c>
      <c r="W145" s="189">
        <f>J145*IFERROR(VLOOKUP(A145,[1]Tørstofindhold!A$2:B$24,2,FALSE),0)</f>
        <v>0</v>
      </c>
      <c r="X145" s="190">
        <f t="shared" si="26"/>
        <v>1158253.3074448803</v>
      </c>
      <c r="Y145" s="170">
        <f t="shared" si="43"/>
        <v>0</v>
      </c>
      <c r="Z145" s="103">
        <f t="shared" si="44"/>
        <v>0</v>
      </c>
    </row>
    <row r="146" spans="1:26" hidden="1" x14ac:dyDescent="0.25">
      <c r="A146" s="191" t="str">
        <f t="shared" si="45"/>
        <v>Træmaterialer</v>
      </c>
      <c r="B146" s="191" t="str">
        <f t="shared" si="46"/>
        <v/>
      </c>
      <c r="C146" s="191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1">
        <f t="shared" si="35"/>
        <v>2050</v>
      </c>
      <c r="E146" s="189" t="s">
        <v>23</v>
      </c>
      <c r="F146" s="192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689715.35963233898</v>
      </c>
      <c r="G146" s="192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9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2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2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2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2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6">
        <f>SUMIFS('Forbrug af biomasse'!E:E,'Forbrug af biomasse'!C:C,'Resultat-Produktion &amp; forbrug'!$A146,'Forbrug af biomasse'!D:D,'Resultat-Produktion &amp; forbrug'!$D146,'Forbrug af biomasse'!G:G,1,'Forbrug af biomasse'!B:B,$E146)</f>
        <v>689715.35963233898</v>
      </c>
      <c r="N146" s="201">
        <f t="shared" si="23"/>
        <v>0</v>
      </c>
      <c r="O146" s="192">
        <f t="shared" si="39"/>
        <v>0</v>
      </c>
      <c r="P146" s="202">
        <f t="shared" si="24"/>
        <v>0</v>
      </c>
      <c r="Q146" s="189">
        <f>IFERROR(VLOOKUP(A146,[1]Energiindhold!$A$2:$C$11,3,FALSE),IFERROR(VLOOKUP(A146,[1]Biogasudbytte!$A$2:$B$18,2,FALSE)*[1]Energiindhold!$C$10,0))*O146</f>
        <v>0</v>
      </c>
      <c r="R146" s="189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9">
        <f>IFERROR(VLOOKUP(A146,[1]Biogasudbytte!$A$2:$B$18,2,FALSE)*[1]Energiindhold!$C$10,0)*J146*IFERROR(VLOOKUP(A146,Biogasanlæg!$F$3:$G$8,2,FALSE),1)</f>
        <v>0</v>
      </c>
      <c r="T146" s="190">
        <f t="shared" si="25"/>
        <v>0</v>
      </c>
      <c r="U146" s="188">
        <f>O146*IFERROR(VLOOKUP(A146,[1]Tørstofindhold!A$2:B$24,2,FALSE),0)</f>
        <v>0</v>
      </c>
      <c r="V146" s="189">
        <f>IF(D146=År1,P146,SUM(O146,P146))*IFERROR(VLOOKUP(A146,[1]Tørstofindhold!A$2:B$24,2,FALSE),0)</f>
        <v>0</v>
      </c>
      <c r="W146" s="189">
        <f>J146*IFERROR(VLOOKUP(A146,[1]Tørstofindhold!A$2:B$24,2,FALSE),0)</f>
        <v>0</v>
      </c>
      <c r="X146" s="190">
        <f t="shared" si="26"/>
        <v>0</v>
      </c>
      <c r="Y146" s="170">
        <f t="shared" si="43"/>
        <v>0</v>
      </c>
      <c r="Z146" s="103">
        <f t="shared" si="44"/>
        <v>0</v>
      </c>
    </row>
    <row r="147" spans="1:26" hidden="1" x14ac:dyDescent="0.25">
      <c r="A147" s="191" t="s">
        <v>15</v>
      </c>
      <c r="B147" s="191"/>
      <c r="C147" s="191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1">
        <f t="shared" ref="D147:D194" si="47">År1</f>
        <v>2019</v>
      </c>
      <c r="E147" s="189" t="s">
        <v>24</v>
      </c>
      <c r="F147" s="192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2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9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2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2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2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2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6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1">
        <f t="shared" si="23"/>
        <v>-8430.5352358472264</v>
      </c>
      <c r="O147" s="192">
        <f t="shared" si="39"/>
        <v>0</v>
      </c>
      <c r="P147" s="202">
        <f t="shared" si="24"/>
        <v>0</v>
      </c>
      <c r="Q147" s="189">
        <f>IFERROR(VLOOKUP(A147,[1]Energiindhold!$A$2:$C$11,3,FALSE),IFERROR(VLOOKUP(A147,[1]Biogasudbytte!$A$2:$B$18,2,FALSE)*[1]Energiindhold!$C$10,0))*O147</f>
        <v>0</v>
      </c>
      <c r="R147" s="189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9">
        <f>IFERROR(VLOOKUP(A147,[1]Biogasudbytte!$A$2:$B$18,2,FALSE)*[1]Energiindhold!$C$10,0)*J147*IFERROR(VLOOKUP(A147,Biogasanlæg!$F$3:$G$8,2,FALSE),1)</f>
        <v>0</v>
      </c>
      <c r="T147" s="190">
        <f t="shared" si="25"/>
        <v>0</v>
      </c>
      <c r="U147" s="188">
        <f>O147*IFERROR(VLOOKUP(A147,[1]Tørstofindhold!A$2:B$24,2,FALSE),0)</f>
        <v>0</v>
      </c>
      <c r="V147" s="189">
        <f>IF(D147=År1,P147,SUM(O147,P147))*IFERROR(VLOOKUP(A147,[1]Tørstofindhold!A$2:B$24,2,FALSE),0)</f>
        <v>0</v>
      </c>
      <c r="W147" s="189">
        <f>J147*IFERROR(VLOOKUP(A147,[1]Tørstofindhold!A$2:B$24,2,FALSE),0)</f>
        <v>0</v>
      </c>
      <c r="X147" s="190">
        <f t="shared" si="26"/>
        <v>0</v>
      </c>
      <c r="Y147" s="170">
        <f t="shared" si="43"/>
        <v>0</v>
      </c>
      <c r="Z147" s="103">
        <f t="shared" si="44"/>
        <v>1</v>
      </c>
    </row>
    <row r="148" spans="1:26" hidden="1" x14ac:dyDescent="0.25">
      <c r="A148" s="191" t="s">
        <v>49</v>
      </c>
      <c r="B148" s="191"/>
      <c r="C148" s="191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1">
        <f t="shared" si="47"/>
        <v>2019</v>
      </c>
      <c r="E148" s="189" t="s">
        <v>24</v>
      </c>
      <c r="F148" s="192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2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9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2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2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2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2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6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1">
        <f t="shared" si="23"/>
        <v>19123.155694952475</v>
      </c>
      <c r="O148" s="192">
        <f t="shared" si="39"/>
        <v>0</v>
      </c>
      <c r="P148" s="202">
        <f t="shared" si="24"/>
        <v>0</v>
      </c>
      <c r="Q148" s="189">
        <f>IFERROR(VLOOKUP(A148,[1]Energiindhold!$A$2:$C$11,3,FALSE),IFERROR(VLOOKUP(A148,[1]Biogasudbytte!$A$2:$B$18,2,FALSE)*[1]Energiindhold!$C$10,0))*O148</f>
        <v>0</v>
      </c>
      <c r="R148" s="189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9">
        <f>IFERROR(VLOOKUP(A148,[1]Biogasudbytte!$A$2:$B$18,2,FALSE)*[1]Energiindhold!$C$10,0)*J148*IFERROR(VLOOKUP(A148,Biogasanlæg!$F$3:$G$8,2,FALSE),1)</f>
        <v>0</v>
      </c>
      <c r="T148" s="190">
        <f t="shared" si="25"/>
        <v>0</v>
      </c>
      <c r="U148" s="188">
        <f>O148*IFERROR(VLOOKUP(A148,[1]Tørstofindhold!A$2:B$24,2,FALSE),0)</f>
        <v>0</v>
      </c>
      <c r="V148" s="189">
        <f>IF(D148=År1,P148,SUM(O148,P148))*IFERROR(VLOOKUP(A148,[1]Tørstofindhold!A$2:B$24,2,FALSE),0)</f>
        <v>0</v>
      </c>
      <c r="W148" s="189">
        <f>J148*IFERROR(VLOOKUP(A148,[1]Tørstofindhold!A$2:B$24,2,FALSE),0)</f>
        <v>0</v>
      </c>
      <c r="X148" s="190">
        <f t="shared" si="26"/>
        <v>0</v>
      </c>
      <c r="Y148" s="170">
        <f t="shared" si="43"/>
        <v>0</v>
      </c>
      <c r="Z148" s="103">
        <f t="shared" si="44"/>
        <v>1</v>
      </c>
    </row>
    <row r="149" spans="1:26" hidden="1" x14ac:dyDescent="0.25">
      <c r="A149" s="191" t="s">
        <v>103</v>
      </c>
      <c r="B149" s="191" t="s">
        <v>231</v>
      </c>
      <c r="C149" s="191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1">
        <f t="shared" si="47"/>
        <v>2019</v>
      </c>
      <c r="E149" s="189" t="s">
        <v>24</v>
      </c>
      <c r="F149" s="192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2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9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2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2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2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2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6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1">
        <f t="shared" ca="1" si="23"/>
        <v>-170507.33327986751</v>
      </c>
      <c r="O149" s="192">
        <f t="shared" ca="1" si="39"/>
        <v>0</v>
      </c>
      <c r="P149" s="202">
        <f t="shared" ca="1" si="24"/>
        <v>335590.35573220561</v>
      </c>
      <c r="Q149" s="189">
        <f ca="1">IFERROR(VLOOKUP(A149,[1]Energiindhold!$A$2:$C$11,3,FALSE),IFERROR(VLOOKUP(A149,[1]Biogasudbytte!$A$2:$B$18,2,FALSE)*[1]Energiindhold!$C$10,0))*O149</f>
        <v>0</v>
      </c>
      <c r="R149" s="189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9">
        <f ca="1">IFERROR(VLOOKUP(A149,[1]Biogasudbytte!$A$2:$B$18,2,FALSE)*[1]Energiindhold!$C$10,0)*J149*IFERROR(VLOOKUP(A149,Biogasanlæg!$F$3:$G$8,2,FALSE),1)</f>
        <v>1.1433261388476088</v>
      </c>
      <c r="T149" s="190">
        <f t="shared" ca="1" si="25"/>
        <v>0</v>
      </c>
      <c r="U149" s="188">
        <f ca="1">O149*IFERROR(VLOOKUP(A149,[1]Tørstofindhold!A$2:B$24,2,FALSE),0)</f>
        <v>0</v>
      </c>
      <c r="V149" s="189">
        <f ca="1">IF(D149=År1,P149,SUM(O149,P149))*IFERROR(VLOOKUP(A149,[1]Tørstofindhold!A$2:B$24,2,FALSE),0)</f>
        <v>93965.299605017586</v>
      </c>
      <c r="W149" s="189">
        <f ca="1">J149*IFERROR(VLOOKUP(A149,[1]Tørstofindhold!A$2:B$24,2,FALSE),0)</f>
        <v>93965.299605017586</v>
      </c>
      <c r="X149" s="190">
        <f t="shared" ca="1" si="26"/>
        <v>0</v>
      </c>
      <c r="Y149" s="170">
        <f t="shared" ca="1" si="43"/>
        <v>1</v>
      </c>
      <c r="Z149" s="103">
        <f t="shared" ca="1" si="44"/>
        <v>0</v>
      </c>
    </row>
    <row r="150" spans="1:26" hidden="1" x14ac:dyDescent="0.25">
      <c r="A150" s="191" t="s">
        <v>110</v>
      </c>
      <c r="B150" s="191"/>
      <c r="C150" s="191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1">
        <f t="shared" si="47"/>
        <v>2019</v>
      </c>
      <c r="E150" s="189" t="s">
        <v>24</v>
      </c>
      <c r="F150" s="192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2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9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2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2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2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2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6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1">
        <f t="shared" ref="N150:N215" ca="1" si="48">F150-SUM(G150:M150)</f>
        <v>0</v>
      </c>
      <c r="O150" s="192">
        <f t="shared" ca="1" si="39"/>
        <v>0</v>
      </c>
      <c r="P150" s="202">
        <f t="shared" ref="P150:P215" ca="1" si="49">SUM(J150,L150)</f>
        <v>110817031.25294524</v>
      </c>
      <c r="Q150" s="189">
        <f ca="1">IFERROR(VLOOKUP(A150,[1]Energiindhold!$A$2:$C$11,3,FALSE),IFERROR(VLOOKUP(A150,[1]Biogasudbytte!$A$2:$B$18,2,FALSE)*[1]Energiindhold!$C$10,0))*O150</f>
        <v>0</v>
      </c>
      <c r="R150" s="189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9">
        <f>IFERROR(VLOOKUP(A150,[1]Biogasudbytte!$A$2:$B$18,2,FALSE)*[1]Energiindhold!$C$10,0)*J150*IFERROR(VLOOKUP(A150,Biogasanlæg!$F$3:$G$8,2,FALSE),1)</f>
        <v>0</v>
      </c>
      <c r="T150" s="190">
        <f t="shared" ref="T150:T215" si="50">R150-S150</f>
        <v>0</v>
      </c>
      <c r="U150" s="188">
        <f ca="1">O150*IFERROR(VLOOKUP(A150,[1]Tørstofindhold!A$2:B$24,2,FALSE),0)</f>
        <v>0</v>
      </c>
      <c r="V150" s="189">
        <f ca="1">IF(D150=År1,P150,SUM(O150,P150))*IFERROR(VLOOKUP(A150,[1]Tørstofindhold!A$2:B$24,2,FALSE),0)</f>
        <v>0</v>
      </c>
      <c r="W150" s="189">
        <f>J150*IFERROR(VLOOKUP(A150,[1]Tørstofindhold!A$2:B$24,2,FALSE),0)</f>
        <v>0</v>
      </c>
      <c r="X150" s="190">
        <f t="shared" ref="X150:X215" ca="1" si="51">V150-W150</f>
        <v>0</v>
      </c>
      <c r="Y150" s="170">
        <f t="shared" ca="1" si="43"/>
        <v>0</v>
      </c>
      <c r="Z150" s="103">
        <f t="shared" ca="1" si="44"/>
        <v>0</v>
      </c>
    </row>
    <row r="151" spans="1:26" hidden="1" x14ac:dyDescent="0.25">
      <c r="A151" s="191" t="s">
        <v>111</v>
      </c>
      <c r="B151" s="191"/>
      <c r="C151" s="191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1">
        <f t="shared" si="47"/>
        <v>2019</v>
      </c>
      <c r="E151" s="189" t="s">
        <v>24</v>
      </c>
      <c r="F151" s="192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2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9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2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2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2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2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6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1">
        <f t="shared" ca="1" si="48"/>
        <v>661163.5565235524</v>
      </c>
      <c r="O151" s="192">
        <f t="shared" si="39"/>
        <v>0</v>
      </c>
      <c r="P151" s="202">
        <f t="shared" si="49"/>
        <v>0</v>
      </c>
      <c r="Q151" s="189">
        <f>IFERROR(VLOOKUP(A151,[1]Energiindhold!$A$2:$C$11,3,FALSE),IFERROR(VLOOKUP(A151,[1]Biogasudbytte!$A$2:$B$18,2,FALSE)*[1]Energiindhold!$C$10,0))*O151</f>
        <v>0</v>
      </c>
      <c r="R151" s="189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9">
        <f>IFERROR(VLOOKUP(A151,[1]Biogasudbytte!$A$2:$B$18,2,FALSE)*[1]Energiindhold!$C$10,0)*J151*IFERROR(VLOOKUP(A151,Biogasanlæg!$F$3:$G$8,2,FALSE),1)</f>
        <v>0</v>
      </c>
      <c r="T151" s="190">
        <f t="shared" si="50"/>
        <v>0</v>
      </c>
      <c r="U151" s="188">
        <f>O151*IFERROR(VLOOKUP(A151,[1]Tørstofindhold!A$2:B$24,2,FALSE),0)</f>
        <v>0</v>
      </c>
      <c r="V151" s="189">
        <f>IF(D151=År1,P151,SUM(O151,P151))*IFERROR(VLOOKUP(A151,[1]Tørstofindhold!A$2:B$24,2,FALSE),0)</f>
        <v>0</v>
      </c>
      <c r="W151" s="189">
        <f>J151*IFERROR(VLOOKUP(A151,[1]Tørstofindhold!A$2:B$24,2,FALSE),0)</f>
        <v>0</v>
      </c>
      <c r="X151" s="190">
        <f t="shared" si="51"/>
        <v>0</v>
      </c>
      <c r="Y151" s="170">
        <f t="shared" ca="1" si="43"/>
        <v>0</v>
      </c>
      <c r="Z151" s="103">
        <f t="shared" ca="1" si="44"/>
        <v>1</v>
      </c>
    </row>
    <row r="152" spans="1:26" hidden="1" x14ac:dyDescent="0.25">
      <c r="A152" s="191" t="s">
        <v>209</v>
      </c>
      <c r="B152" s="191" t="s">
        <v>231</v>
      </c>
      <c r="C152" s="191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1">
        <f t="shared" si="47"/>
        <v>2019</v>
      </c>
      <c r="E152" s="189" t="s">
        <v>24</v>
      </c>
      <c r="F152" s="192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2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9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2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2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2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2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6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1">
        <f t="shared" si="48"/>
        <v>0</v>
      </c>
      <c r="O152" s="192">
        <f t="shared" si="39"/>
        <v>0</v>
      </c>
      <c r="P152" s="202">
        <f t="shared" si="49"/>
        <v>0</v>
      </c>
      <c r="Q152" s="189">
        <f>IFERROR(VLOOKUP(A152,[1]Energiindhold!$A$2:$C$11,3,FALSE),IFERROR(VLOOKUP(A152,[1]Biogasudbytte!$A$2:$B$18,2,FALSE)*[1]Energiindhold!$C$10,0))*O152</f>
        <v>0</v>
      </c>
      <c r="R152" s="189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9">
        <f>IFERROR(VLOOKUP(A152,[1]Biogasudbytte!$A$2:$B$18,2,FALSE)*[1]Energiindhold!$C$10,0)*J152*IFERROR(VLOOKUP(A152,Biogasanlæg!$F$3:$G$8,2,FALSE),1)</f>
        <v>0</v>
      </c>
      <c r="T152" s="190">
        <f t="shared" si="50"/>
        <v>0</v>
      </c>
      <c r="U152" s="188">
        <f>O152*IFERROR(VLOOKUP(A152,[1]Tørstofindhold!A$2:B$24,2,FALSE),0)</f>
        <v>0</v>
      </c>
      <c r="V152" s="189">
        <f>IF(D152=År1,P152,SUM(O152,P152))*IFERROR(VLOOKUP(A152,[1]Tørstofindhold!A$2:B$24,2,FALSE),0)</f>
        <v>0</v>
      </c>
      <c r="W152" s="189">
        <f>J152*IFERROR(VLOOKUP(A152,[1]Tørstofindhold!A$2:B$24,2,FALSE),0)</f>
        <v>0</v>
      </c>
      <c r="X152" s="190">
        <f t="shared" si="51"/>
        <v>0</v>
      </c>
      <c r="Y152" s="170">
        <f t="shared" si="43"/>
        <v>0</v>
      </c>
      <c r="Z152" s="103">
        <f t="shared" si="44"/>
        <v>0</v>
      </c>
    </row>
    <row r="153" spans="1:26" hidden="1" x14ac:dyDescent="0.25">
      <c r="A153" s="189" t="s">
        <v>102</v>
      </c>
      <c r="B153" s="191" t="s">
        <v>223</v>
      </c>
      <c r="C153" s="191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1">
        <f t="shared" si="47"/>
        <v>2019</v>
      </c>
      <c r="E153" s="189" t="s">
        <v>24</v>
      </c>
      <c r="F153" s="192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2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9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2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2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2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2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6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1">
        <f t="shared" si="48"/>
        <v>153410.57659836096</v>
      </c>
      <c r="O153" s="192">
        <f t="shared" si="39"/>
        <v>153410.57659836096</v>
      </c>
      <c r="P153" s="202">
        <f t="shared" si="49"/>
        <v>85892.328449707566</v>
      </c>
      <c r="Q153" s="189">
        <f>IFERROR(VLOOKUP(A153,[1]Energiindhold!$A$2:$C$11,3,FALSE),IFERROR(VLOOKUP(A153,[1]Biogasudbytte!$A$2:$B$18,2,FALSE)*[1]Energiindhold!$C$10,0))*O153</f>
        <v>0.33044638199286952</v>
      </c>
      <c r="R153" s="189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9">
        <f>IFERROR(VLOOKUP(A153,[1]Biogasudbytte!$A$2:$B$18,2,FALSE)*[1]Energiindhold!$C$10,0)*J153*IFERROR(VLOOKUP(A153,Biogasanlæg!$F$3:$G$8,2,FALSE),1)</f>
        <v>0.18501207548067011</v>
      </c>
      <c r="T153" s="190">
        <f t="shared" si="50"/>
        <v>0</v>
      </c>
      <c r="U153" s="188">
        <f>O153*IFERROR(VLOOKUP(A153,[1]Tørstofindhold!A$2:B$24,2,FALSE),0)</f>
        <v>46023.172979508287</v>
      </c>
      <c r="V153" s="189">
        <f>IF(D153=År1,P153,SUM(O153,P153))*IFERROR(VLOOKUP(A153,[1]Tørstofindhold!A$2:B$24,2,FALSE),0)</f>
        <v>25767.69853491227</v>
      </c>
      <c r="W153" s="189">
        <f>J153*IFERROR(VLOOKUP(A153,[1]Tørstofindhold!A$2:B$24,2,FALSE),0)</f>
        <v>25767.69853491227</v>
      </c>
      <c r="X153" s="190">
        <f t="shared" si="51"/>
        <v>0</v>
      </c>
      <c r="Y153" s="170">
        <f t="shared" si="43"/>
        <v>0</v>
      </c>
      <c r="Z153" s="103">
        <f t="shared" si="44"/>
        <v>1</v>
      </c>
    </row>
    <row r="154" spans="1:26" hidden="1" x14ac:dyDescent="0.25">
      <c r="A154" s="189" t="s">
        <v>205</v>
      </c>
      <c r="B154" s="191"/>
      <c r="C154" s="191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1">
        <f t="shared" si="47"/>
        <v>2019</v>
      </c>
      <c r="E154" s="189" t="s">
        <v>24</v>
      </c>
      <c r="F154" s="192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2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9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2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2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2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2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6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1">
        <f t="shared" si="48"/>
        <v>0</v>
      </c>
      <c r="O154" s="192">
        <f t="shared" si="39"/>
        <v>0</v>
      </c>
      <c r="P154" s="202">
        <f t="shared" si="49"/>
        <v>0</v>
      </c>
      <c r="Q154" s="189">
        <f>IFERROR(VLOOKUP(A154,[1]Energiindhold!$A$2:$C$11,3,FALSE),IFERROR(VLOOKUP(A154,[1]Biogasudbytte!$A$2:$B$18,2,FALSE)*[1]Energiindhold!$C$10,0))*O154</f>
        <v>0</v>
      </c>
      <c r="R154" s="189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9">
        <f>IFERROR(VLOOKUP(A154,[1]Biogasudbytte!$A$2:$B$18,2,FALSE)*[1]Energiindhold!$C$10,0)*J154*IFERROR(VLOOKUP(A154,Biogasanlæg!$F$3:$G$8,2,FALSE),1)</f>
        <v>0</v>
      </c>
      <c r="T154" s="190">
        <f t="shared" si="50"/>
        <v>0</v>
      </c>
      <c r="U154" s="188">
        <f>O154*IFERROR(VLOOKUP(A154,[1]Tørstofindhold!A$2:B$24,2,FALSE),0)</f>
        <v>0</v>
      </c>
      <c r="V154" s="189">
        <f>IF(D154=År1,P154,SUM(O154,P154))*IFERROR(VLOOKUP(A154,[1]Tørstofindhold!A$2:B$24,2,FALSE),0)</f>
        <v>0</v>
      </c>
      <c r="W154" s="189">
        <f>J154*IFERROR(VLOOKUP(A154,[1]Tørstofindhold!A$2:B$24,2,FALSE),0)</f>
        <v>0</v>
      </c>
      <c r="X154" s="190">
        <f t="shared" si="51"/>
        <v>0</v>
      </c>
      <c r="Y154" s="170">
        <f t="shared" si="43"/>
        <v>0</v>
      </c>
      <c r="Z154" s="103">
        <f t="shared" si="44"/>
        <v>0</v>
      </c>
    </row>
    <row r="155" spans="1:26" hidden="1" x14ac:dyDescent="0.25">
      <c r="A155" s="189" t="s">
        <v>138</v>
      </c>
      <c r="B155" s="191" t="s">
        <v>223</v>
      </c>
      <c r="C155" s="191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1">
        <f t="shared" si="47"/>
        <v>2019</v>
      </c>
      <c r="E155" s="189" t="s">
        <v>24</v>
      </c>
      <c r="F155" s="192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2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9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2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2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2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2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6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1">
        <f t="shared" si="48"/>
        <v>0</v>
      </c>
      <c r="O155" s="192">
        <f t="shared" si="39"/>
        <v>0</v>
      </c>
      <c r="P155" s="202">
        <f t="shared" si="49"/>
        <v>337.693821952441</v>
      </c>
      <c r="Q155" s="189">
        <f>IFERROR(VLOOKUP(A155,[1]Energiindhold!$A$2:$C$11,3,FALSE),IFERROR(VLOOKUP(A155,[1]Biogasudbytte!$A$2:$B$18,2,FALSE)*[1]Energiindhold!$C$10,0))*O155</f>
        <v>0</v>
      </c>
      <c r="R155" s="189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9">
        <f>IFERROR(VLOOKUP(A155,[1]Biogasudbytte!$A$2:$B$18,2,FALSE)*[1]Energiindhold!$C$10,0)*J155*IFERROR(VLOOKUP(A155,Biogasanlæg!$F$3:$G$8,2,FALSE),1)</f>
        <v>1.5881402752601349E-4</v>
      </c>
      <c r="T155" s="190">
        <f t="shared" si="50"/>
        <v>0</v>
      </c>
      <c r="U155" s="188">
        <f>O155*IFERROR(VLOOKUP(A155,[1]Tørstofindhold!A$2:B$24,2,FALSE),0)</f>
        <v>0</v>
      </c>
      <c r="V155" s="189">
        <f>IF(D155=År1,P155,SUM(O155,P155))*IFERROR(VLOOKUP(A155,[1]Tørstofindhold!A$2:B$24,2,FALSE),0)</f>
        <v>21.274710783003783</v>
      </c>
      <c r="W155" s="189">
        <f>J155*IFERROR(VLOOKUP(A155,[1]Tørstofindhold!A$2:B$24,2,FALSE),0)</f>
        <v>21.274710783003783</v>
      </c>
      <c r="X155" s="190">
        <f t="shared" si="51"/>
        <v>0</v>
      </c>
      <c r="Y155" s="170">
        <f t="shared" si="43"/>
        <v>0</v>
      </c>
      <c r="Z155" s="103">
        <f t="shared" si="44"/>
        <v>0</v>
      </c>
    </row>
    <row r="156" spans="1:26" hidden="1" x14ac:dyDescent="0.25">
      <c r="A156" s="189" t="s">
        <v>97</v>
      </c>
      <c r="B156" s="191"/>
      <c r="C156" s="191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1">
        <f t="shared" si="47"/>
        <v>2019</v>
      </c>
      <c r="E156" s="189" t="s">
        <v>24</v>
      </c>
      <c r="F156" s="192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2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9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2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2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2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2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6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1">
        <f t="shared" si="48"/>
        <v>-13151.581373695415</v>
      </c>
      <c r="O156" s="192">
        <f t="shared" si="39"/>
        <v>0</v>
      </c>
      <c r="P156" s="202">
        <f t="shared" si="49"/>
        <v>0</v>
      </c>
      <c r="Q156" s="189">
        <f>IFERROR(VLOOKUP(A156,[1]Energiindhold!$A$2:$C$11,3,FALSE),IFERROR(VLOOKUP(A156,[1]Biogasudbytte!$A$2:$B$18,2,FALSE)*[1]Energiindhold!$C$10,0))*O156</f>
        <v>0</v>
      </c>
      <c r="R156" s="189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9">
        <f>IFERROR(VLOOKUP(A156,[1]Biogasudbytte!$A$2:$B$18,2,FALSE)*[1]Energiindhold!$C$10,0)*J156*IFERROR(VLOOKUP(A156,Biogasanlæg!$F$3:$G$8,2,FALSE),1)</f>
        <v>0</v>
      </c>
      <c r="T156" s="190">
        <f t="shared" si="50"/>
        <v>0</v>
      </c>
      <c r="U156" s="188">
        <f>O156*IFERROR(VLOOKUP(A156,[1]Tørstofindhold!A$2:B$24,2,FALSE),0)</f>
        <v>0</v>
      </c>
      <c r="V156" s="189">
        <f>IF(D156=År1,P156,SUM(O156,P156))*IFERROR(VLOOKUP(A156,[1]Tørstofindhold!A$2:B$24,2,FALSE),0)</f>
        <v>0</v>
      </c>
      <c r="W156" s="189">
        <f>J156*IFERROR(VLOOKUP(A156,[1]Tørstofindhold!A$2:B$24,2,FALSE),0)</f>
        <v>0</v>
      </c>
      <c r="X156" s="190">
        <f t="shared" si="51"/>
        <v>0</v>
      </c>
      <c r="Y156" s="170">
        <f t="shared" si="43"/>
        <v>0</v>
      </c>
      <c r="Z156" s="103">
        <f t="shared" si="44"/>
        <v>1</v>
      </c>
    </row>
    <row r="157" spans="1:26" hidden="1" x14ac:dyDescent="0.25">
      <c r="A157" s="189" t="s">
        <v>114</v>
      </c>
      <c r="B157" s="191"/>
      <c r="C157" s="191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1">
        <f t="shared" si="47"/>
        <v>2019</v>
      </c>
      <c r="E157" s="189" t="s">
        <v>24</v>
      </c>
      <c r="F157" s="192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2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9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2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2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2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2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6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1">
        <f t="shared" si="48"/>
        <v>612515.4514426298</v>
      </c>
      <c r="O157" s="192">
        <f t="shared" si="39"/>
        <v>0</v>
      </c>
      <c r="P157" s="202">
        <f t="shared" si="49"/>
        <v>0</v>
      </c>
      <c r="Q157" s="189">
        <f>IFERROR(VLOOKUP(A157,[1]Energiindhold!$A$2:$C$11,3,FALSE),IFERROR(VLOOKUP(A157,[1]Biogasudbytte!$A$2:$B$18,2,FALSE)*[1]Energiindhold!$C$10,0))*O157</f>
        <v>0</v>
      </c>
      <c r="R157" s="189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9">
        <f>IFERROR(VLOOKUP(A157,[1]Biogasudbytte!$A$2:$B$18,2,FALSE)*[1]Energiindhold!$C$10,0)*J157*IFERROR(VLOOKUP(A157,Biogasanlæg!$F$3:$G$8,2,FALSE),1)</f>
        <v>0</v>
      </c>
      <c r="T157" s="190">
        <f t="shared" si="50"/>
        <v>0</v>
      </c>
      <c r="U157" s="188">
        <f>O157*IFERROR(VLOOKUP(A157,[1]Tørstofindhold!A$2:B$24,2,FALSE),0)</f>
        <v>0</v>
      </c>
      <c r="V157" s="189">
        <f>IF(D157=År1,P157,SUM(O157,P157))*IFERROR(VLOOKUP(A157,[1]Tørstofindhold!A$2:B$24,2,FALSE),0)</f>
        <v>0</v>
      </c>
      <c r="W157" s="189">
        <f>J157*IFERROR(VLOOKUP(A157,[1]Tørstofindhold!A$2:B$24,2,FALSE),0)</f>
        <v>0</v>
      </c>
      <c r="X157" s="190">
        <f t="shared" si="51"/>
        <v>0</v>
      </c>
      <c r="Y157" s="170">
        <f t="shared" si="43"/>
        <v>0</v>
      </c>
      <c r="Z157" s="103">
        <f t="shared" si="44"/>
        <v>1</v>
      </c>
    </row>
    <row r="158" spans="1:26" hidden="1" x14ac:dyDescent="0.25">
      <c r="A158" s="189" t="s">
        <v>54</v>
      </c>
      <c r="B158" s="191"/>
      <c r="C158" s="191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1">
        <f t="shared" si="47"/>
        <v>2019</v>
      </c>
      <c r="E158" s="189" t="s">
        <v>24</v>
      </c>
      <c r="F158" s="192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2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9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2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2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2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2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6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1">
        <f t="shared" si="48"/>
        <v>-196999.76656780957</v>
      </c>
      <c r="O158" s="192">
        <f t="shared" si="39"/>
        <v>0</v>
      </c>
      <c r="P158" s="202">
        <f t="shared" si="49"/>
        <v>0</v>
      </c>
      <c r="Q158" s="189">
        <f>IFERROR(VLOOKUP(A158,[1]Energiindhold!$A$2:$C$11,3,FALSE),IFERROR(VLOOKUP(A158,[1]Biogasudbytte!$A$2:$B$18,2,FALSE)*[1]Energiindhold!$C$10,0))*O158</f>
        <v>0</v>
      </c>
      <c r="R158" s="189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9">
        <f>IFERROR(VLOOKUP(A158,[1]Biogasudbytte!$A$2:$B$18,2,FALSE)*[1]Energiindhold!$C$10,0)*J158*IFERROR(VLOOKUP(A158,Biogasanlæg!$F$3:$G$8,2,FALSE),1)</f>
        <v>0</v>
      </c>
      <c r="T158" s="190">
        <f t="shared" si="50"/>
        <v>0</v>
      </c>
      <c r="U158" s="188">
        <f>O158*IFERROR(VLOOKUP(A158,[1]Tørstofindhold!A$2:B$24,2,FALSE),0)</f>
        <v>0</v>
      </c>
      <c r="V158" s="189">
        <f>IF(D158=År1,P158,SUM(O158,P158))*IFERROR(VLOOKUP(A158,[1]Tørstofindhold!A$2:B$24,2,FALSE),0)</f>
        <v>0</v>
      </c>
      <c r="W158" s="189">
        <f>J158*IFERROR(VLOOKUP(A158,[1]Tørstofindhold!A$2:B$24,2,FALSE),0)</f>
        <v>0</v>
      </c>
      <c r="X158" s="190">
        <f t="shared" si="51"/>
        <v>0</v>
      </c>
      <c r="Y158" s="170">
        <f t="shared" si="43"/>
        <v>1</v>
      </c>
      <c r="Z158" s="103">
        <f t="shared" si="44"/>
        <v>0</v>
      </c>
    </row>
    <row r="159" spans="1:26" hidden="1" x14ac:dyDescent="0.25">
      <c r="A159" s="191" t="s">
        <v>159</v>
      </c>
      <c r="B159" s="191" t="s">
        <v>159</v>
      </c>
      <c r="C159" s="191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1">
        <f t="shared" si="47"/>
        <v>2019</v>
      </c>
      <c r="E159" s="189" t="s">
        <v>24</v>
      </c>
      <c r="F159" s="192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2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9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2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2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2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2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6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1">
        <f t="shared" si="48"/>
        <v>-28548.400000000001</v>
      </c>
      <c r="O159" s="192">
        <f t="shared" si="39"/>
        <v>0</v>
      </c>
      <c r="P159" s="202">
        <f t="shared" si="49"/>
        <v>28548.400000000001</v>
      </c>
      <c r="Q159" s="189">
        <f>IFERROR(VLOOKUP(A159,[1]Energiindhold!$A$2:$C$11,3,FALSE),IFERROR(VLOOKUP(A159,[1]Biogasudbytte!$A$2:$B$18,2,FALSE)*[1]Energiindhold!$C$10,0))*O159</f>
        <v>0</v>
      </c>
      <c r="R159" s="189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9">
        <f>IFERROR(VLOOKUP(A159,[1]Biogasudbytte!$A$2:$B$18,2,FALSE)*[1]Energiindhold!$C$10,0)*J159*IFERROR(VLOOKUP(A159,Biogasanlæg!$F$3:$G$8,2,FALSE),1)</f>
        <v>0.43389639740160008</v>
      </c>
      <c r="T159" s="190">
        <f t="shared" si="50"/>
        <v>0</v>
      </c>
      <c r="U159" s="188">
        <f>O159*IFERROR(VLOOKUP(A159,[1]Tørstofindhold!A$2:B$24,2,FALSE),0)</f>
        <v>0</v>
      </c>
      <c r="V159" s="189">
        <f>IF(D159=År1,P159,SUM(O159,P159))*IFERROR(VLOOKUP(A159,[1]Tørstofindhold!A$2:B$24,2,FALSE),0)</f>
        <v>25693.56</v>
      </c>
      <c r="W159" s="189">
        <f>J159*IFERROR(VLOOKUP(A159,[1]Tørstofindhold!A$2:B$24,2,FALSE),0)</f>
        <v>25693.56</v>
      </c>
      <c r="X159" s="190">
        <f t="shared" si="51"/>
        <v>0</v>
      </c>
      <c r="Y159" s="170">
        <f t="shared" si="43"/>
        <v>1</v>
      </c>
      <c r="Z159" s="103">
        <f t="shared" si="44"/>
        <v>0</v>
      </c>
    </row>
    <row r="160" spans="1:26" hidden="1" x14ac:dyDescent="0.25">
      <c r="A160" s="191" t="s">
        <v>51</v>
      </c>
      <c r="B160" s="191" t="s">
        <v>225</v>
      </c>
      <c r="C160" s="191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1">
        <f t="shared" si="47"/>
        <v>2019</v>
      </c>
      <c r="E160" s="189" t="s">
        <v>24</v>
      </c>
      <c r="F160" s="192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2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9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2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2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2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2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6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1">
        <f t="shared" si="48"/>
        <v>567828.21491337055</v>
      </c>
      <c r="O160" s="192">
        <f t="shared" si="39"/>
        <v>567828.21491337055</v>
      </c>
      <c r="P160" s="202">
        <f t="shared" si="49"/>
        <v>9930.836100337272</v>
      </c>
      <c r="Q160" s="189">
        <f>IFERROR(VLOOKUP(A160,[1]Energiindhold!$A$2:$C$11,3,FALSE),IFERROR(VLOOKUP(A160,[1]Biogasudbytte!$A$2:$B$18,2,FALSE)*[1]Energiindhold!$C$10,0))*O160</f>
        <v>1.0447329369137377</v>
      </c>
      <c r="R160" s="189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9">
        <f>IFERROR(VLOOKUP(A160,[1]Biogasudbytte!$A$2:$B$18,2,FALSE)*[1]Energiindhold!$C$10,0)*J160*IFERROR(VLOOKUP(A160,Biogasanlæg!$F$3:$G$8,2,FALSE),1)</f>
        <v>1.8271497070108039E-2</v>
      </c>
      <c r="T160" s="190">
        <f t="shared" si="50"/>
        <v>0</v>
      </c>
      <c r="U160" s="188">
        <f>O160*IFERROR(VLOOKUP(A160,[1]Tørstofindhold!A$2:B$24,2,FALSE),0)</f>
        <v>158991.90017574377</v>
      </c>
      <c r="V160" s="189">
        <f>IF(D160=År1,P160,SUM(O160,P160))*IFERROR(VLOOKUP(A160,[1]Tørstofindhold!A$2:B$24,2,FALSE),0)</f>
        <v>2780.6341080944362</v>
      </c>
      <c r="W160" s="189">
        <f>J160*IFERROR(VLOOKUP(A160,[1]Tørstofindhold!A$2:B$24,2,FALSE),0)</f>
        <v>2780.6341080944362</v>
      </c>
      <c r="X160" s="190">
        <f t="shared" si="51"/>
        <v>0</v>
      </c>
      <c r="Y160" s="170">
        <f t="shared" si="43"/>
        <v>0</v>
      </c>
      <c r="Z160" s="103">
        <f t="shared" si="44"/>
        <v>1</v>
      </c>
    </row>
    <row r="161" spans="1:26" hidden="1" x14ac:dyDescent="0.25">
      <c r="A161" s="191" t="s">
        <v>204</v>
      </c>
      <c r="B161" s="191"/>
      <c r="C161" s="191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1">
        <f t="shared" si="47"/>
        <v>2019</v>
      </c>
      <c r="E161" s="189" t="s">
        <v>24</v>
      </c>
      <c r="F161" s="192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2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9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2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2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2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2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6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1">
        <f t="shared" si="48"/>
        <v>0</v>
      </c>
      <c r="O161" s="192">
        <f t="shared" si="39"/>
        <v>0</v>
      </c>
      <c r="P161" s="202">
        <f t="shared" si="49"/>
        <v>0</v>
      </c>
      <c r="Q161" s="189">
        <f>IFERROR(VLOOKUP(A161,[1]Energiindhold!$A$2:$C$11,3,FALSE),IFERROR(VLOOKUP(A161,[1]Biogasudbytte!$A$2:$B$18,2,FALSE)*[1]Energiindhold!$C$10,0))*O161</f>
        <v>0</v>
      </c>
      <c r="R161" s="189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9">
        <f>IFERROR(VLOOKUP(A161,[1]Biogasudbytte!$A$2:$B$18,2,FALSE)*[1]Energiindhold!$C$10,0)*J161*IFERROR(VLOOKUP(A161,Biogasanlæg!$F$3:$G$8,2,FALSE),1)</f>
        <v>0</v>
      </c>
      <c r="T161" s="190">
        <f t="shared" si="50"/>
        <v>0</v>
      </c>
      <c r="U161" s="188">
        <f>O161*IFERROR(VLOOKUP(A161,[1]Tørstofindhold!A$2:B$24,2,FALSE),0)</f>
        <v>0</v>
      </c>
      <c r="V161" s="189">
        <f>IF(D161=År1,P161,SUM(O161,P161))*IFERROR(VLOOKUP(A161,[1]Tørstofindhold!A$2:B$24,2,FALSE),0)</f>
        <v>0</v>
      </c>
      <c r="W161" s="189">
        <f>J161*IFERROR(VLOOKUP(A161,[1]Tørstofindhold!A$2:B$24,2,FALSE),0)</f>
        <v>0</v>
      </c>
      <c r="X161" s="190">
        <f t="shared" si="51"/>
        <v>0</v>
      </c>
      <c r="Y161" s="170">
        <f t="shared" si="43"/>
        <v>0</v>
      </c>
      <c r="Z161" s="103">
        <f t="shared" si="44"/>
        <v>0</v>
      </c>
    </row>
    <row r="162" spans="1:26" hidden="1" x14ac:dyDescent="0.25">
      <c r="A162" s="191" t="s">
        <v>6</v>
      </c>
      <c r="B162" s="191"/>
      <c r="C162" s="191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1">
        <f t="shared" si="47"/>
        <v>2019</v>
      </c>
      <c r="E162" s="189" t="s">
        <v>24</v>
      </c>
      <c r="F162" s="192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2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9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2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2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2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2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6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1">
        <f t="shared" si="48"/>
        <v>-126804.69555271766</v>
      </c>
      <c r="O162" s="192">
        <f t="shared" si="39"/>
        <v>0</v>
      </c>
      <c r="P162" s="202">
        <f t="shared" si="49"/>
        <v>0</v>
      </c>
      <c r="Q162" s="189">
        <f>IFERROR(VLOOKUP(A162,[1]Energiindhold!$A$2:$C$11,3,FALSE),IFERROR(VLOOKUP(A162,[1]Biogasudbytte!$A$2:$B$18,2,FALSE)*[1]Energiindhold!$C$10,0))*O162</f>
        <v>0</v>
      </c>
      <c r="R162" s="189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9">
        <f>IFERROR(VLOOKUP(A162,[1]Biogasudbytte!$A$2:$B$18,2,FALSE)*[1]Energiindhold!$C$10,0)*J162*IFERROR(VLOOKUP(A162,Biogasanlæg!$F$3:$G$8,2,FALSE),1)</f>
        <v>0</v>
      </c>
      <c r="T162" s="190">
        <f t="shared" si="50"/>
        <v>0</v>
      </c>
      <c r="U162" s="188">
        <f>O162*IFERROR(VLOOKUP(A162,[1]Tørstofindhold!A$2:B$24,2,FALSE),0)</f>
        <v>0</v>
      </c>
      <c r="V162" s="189">
        <f>IF(D162=År1,P162,SUM(O162,P162))*IFERROR(VLOOKUP(A162,[1]Tørstofindhold!A$2:B$24,2,FALSE),0)</f>
        <v>0</v>
      </c>
      <c r="W162" s="189">
        <f>J162*IFERROR(VLOOKUP(A162,[1]Tørstofindhold!A$2:B$24,2,FALSE),0)</f>
        <v>0</v>
      </c>
      <c r="X162" s="190">
        <f t="shared" si="51"/>
        <v>0</v>
      </c>
      <c r="Y162" s="170">
        <f t="shared" si="43"/>
        <v>1</v>
      </c>
      <c r="Z162" s="103">
        <f t="shared" si="44"/>
        <v>0</v>
      </c>
    </row>
    <row r="163" spans="1:26" hidden="1" x14ac:dyDescent="0.25">
      <c r="A163" s="191" t="s">
        <v>68</v>
      </c>
      <c r="B163" s="191" t="s">
        <v>228</v>
      </c>
      <c r="C163" s="191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1">
        <f t="shared" si="47"/>
        <v>2019</v>
      </c>
      <c r="E163" s="189" t="s">
        <v>24</v>
      </c>
      <c r="F163" s="192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2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9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2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2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2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2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6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1">
        <f t="shared" si="48"/>
        <v>0</v>
      </c>
      <c r="O163" s="192">
        <f t="shared" si="39"/>
        <v>0</v>
      </c>
      <c r="P163" s="202">
        <f t="shared" si="49"/>
        <v>756970.00635565282</v>
      </c>
      <c r="Q163" s="189">
        <f>IFERROR(VLOOKUP(A163,[1]Energiindhold!$A$2:$C$11,3,FALSE),IFERROR(VLOOKUP(A163,[1]Biogasudbytte!$A$2:$B$18,2,FALSE)*[1]Energiindhold!$C$10,0))*O163</f>
        <v>0</v>
      </c>
      <c r="R163" s="189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9">
        <f>IFERROR(VLOOKUP(A163,[1]Biogasudbytte!$A$2:$B$18,2,FALSE)*[1]Energiindhold!$C$10,0)*J163*IFERROR(VLOOKUP(A163,Biogasanlæg!$F$3:$G$8,2,FALSE),1)</f>
        <v>0.13142610267053248</v>
      </c>
      <c r="T163" s="190">
        <f t="shared" si="50"/>
        <v>7.5882895761801983</v>
      </c>
      <c r="U163" s="188">
        <f>O163*IFERROR(VLOOKUP(A163,[1]Tørstofindhold!A$2:B$24,2,FALSE),0)</f>
        <v>0</v>
      </c>
      <c r="V163" s="189">
        <f>IF(D163=År1,P163,SUM(O163,P163))*IFERROR(VLOOKUP(A163,[1]Tørstofindhold!A$2:B$24,2,FALSE),0)</f>
        <v>643424.50540230493</v>
      </c>
      <c r="W163" s="189">
        <f>J163*IFERROR(VLOOKUP(A163,[1]Tørstofindhold!A$2:B$24,2,FALSE),0)</f>
        <v>19375.841164913018</v>
      </c>
      <c r="X163" s="190">
        <f t="shared" si="51"/>
        <v>624048.6642373919</v>
      </c>
      <c r="Y163" s="170">
        <f t="shared" si="43"/>
        <v>0</v>
      </c>
      <c r="Z163" s="103">
        <f t="shared" si="44"/>
        <v>0</v>
      </c>
    </row>
    <row r="164" spans="1:26" hidden="1" x14ac:dyDescent="0.25">
      <c r="A164" s="191" t="s">
        <v>163</v>
      </c>
      <c r="B164" s="191" t="s">
        <v>231</v>
      </c>
      <c r="C164" s="191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1">
        <f t="shared" si="47"/>
        <v>2019</v>
      </c>
      <c r="E164" s="189" t="s">
        <v>24</v>
      </c>
      <c r="F164" s="192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2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9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2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2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2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2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6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1">
        <f t="shared" si="48"/>
        <v>0</v>
      </c>
      <c r="O164" s="192">
        <f t="shared" si="39"/>
        <v>0</v>
      </c>
      <c r="P164" s="202">
        <f t="shared" si="49"/>
        <v>452346.51233766804</v>
      </c>
      <c r="Q164" s="189">
        <f>IFERROR(VLOOKUP(A164,[1]Energiindhold!$A$2:$C$11,3,FALSE),IFERROR(VLOOKUP(A164,[1]Biogasudbytte!$A$2:$B$18,2,FALSE)*[1]Energiindhold!$C$10,0))*O164</f>
        <v>0</v>
      </c>
      <c r="R164" s="189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9">
        <f>IFERROR(VLOOKUP(A164,[1]Biogasudbytte!$A$2:$B$18,2,FALSE)*[1]Energiindhold!$C$10,0)*J164*IFERROR(VLOOKUP(A164,Biogasanlæg!$F$3:$G$8,2,FALSE),1)</f>
        <v>6.0961032399995807E-5</v>
      </c>
      <c r="T164" s="190">
        <f t="shared" si="50"/>
        <v>8.0747487919351268</v>
      </c>
      <c r="U164" s="188">
        <f>O164*IFERROR(VLOOKUP(A164,[1]Tørstofindhold!A$2:B$24,2,FALSE),0)</f>
        <v>0</v>
      </c>
      <c r="V164" s="189">
        <f>IF(D164=År1,P164,SUM(O164,P164))*IFERROR(VLOOKUP(A164,[1]Tørstofindhold!A$2:B$24,2,FALSE),0)</f>
        <v>135703.9537013004</v>
      </c>
      <c r="W164" s="189">
        <f>J164*IFERROR(VLOOKUP(A164,[1]Tørstofindhold!A$2:B$24,2,FALSE),0)</f>
        <v>10.77005642876839</v>
      </c>
      <c r="X164" s="190">
        <f t="shared" si="51"/>
        <v>135693.18364487163</v>
      </c>
      <c r="Y164" s="170">
        <f t="shared" si="43"/>
        <v>0</v>
      </c>
      <c r="Z164" s="103">
        <f t="shared" si="44"/>
        <v>0</v>
      </c>
    </row>
    <row r="165" spans="1:26" hidden="1" x14ac:dyDescent="0.25">
      <c r="A165" s="189" t="s">
        <v>160</v>
      </c>
      <c r="B165" s="191"/>
      <c r="C165" s="191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1">
        <f t="shared" si="47"/>
        <v>2019</v>
      </c>
      <c r="E165" s="189" t="s">
        <v>24</v>
      </c>
      <c r="F165" s="192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2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9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2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2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2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2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6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1">
        <f t="shared" si="48"/>
        <v>-592646.72642582108</v>
      </c>
      <c r="O165" s="192">
        <f t="shared" si="39"/>
        <v>0</v>
      </c>
      <c r="P165" s="202">
        <f t="shared" si="49"/>
        <v>0</v>
      </c>
      <c r="Q165" s="189">
        <f>IFERROR(VLOOKUP(A165,[1]Energiindhold!$A$2:$C$11,3,FALSE),IFERROR(VLOOKUP(A165,[1]Biogasudbytte!$A$2:$B$18,2,FALSE)*[1]Energiindhold!$C$10,0))*O165</f>
        <v>0</v>
      </c>
      <c r="R165" s="189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9">
        <f>IFERROR(VLOOKUP(A165,[1]Biogasudbytte!$A$2:$B$18,2,FALSE)*[1]Energiindhold!$C$10,0)*J165*IFERROR(VLOOKUP(A165,Biogasanlæg!$F$3:$G$8,2,FALSE),1)</f>
        <v>0</v>
      </c>
      <c r="T165" s="190">
        <f t="shared" si="50"/>
        <v>0</v>
      </c>
      <c r="U165" s="188">
        <f>O165*IFERROR(VLOOKUP(A165,[1]Tørstofindhold!A$2:B$24,2,FALSE),0)</f>
        <v>0</v>
      </c>
      <c r="V165" s="189">
        <f>IF(D165=År1,P165,SUM(O165,P165))*IFERROR(VLOOKUP(A165,[1]Tørstofindhold!A$2:B$24,2,FALSE),0)</f>
        <v>0</v>
      </c>
      <c r="W165" s="189">
        <f>J165*IFERROR(VLOOKUP(A165,[1]Tørstofindhold!A$2:B$24,2,FALSE),0)</f>
        <v>0</v>
      </c>
      <c r="X165" s="190">
        <f t="shared" si="51"/>
        <v>0</v>
      </c>
      <c r="Y165" s="170">
        <f t="shared" si="43"/>
        <v>1</v>
      </c>
      <c r="Z165" s="103">
        <f t="shared" si="44"/>
        <v>0</v>
      </c>
    </row>
    <row r="166" spans="1:26" hidden="1" x14ac:dyDescent="0.25">
      <c r="A166" s="191" t="s">
        <v>104</v>
      </c>
      <c r="B166" s="191" t="s">
        <v>231</v>
      </c>
      <c r="C166" s="191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1">
        <f t="shared" si="47"/>
        <v>2019</v>
      </c>
      <c r="E166" s="189" t="s">
        <v>24</v>
      </c>
      <c r="F166" s="192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2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9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2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2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2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2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6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1">
        <f t="shared" si="48"/>
        <v>-79270.498677373223</v>
      </c>
      <c r="O166" s="192">
        <f t="shared" si="39"/>
        <v>0</v>
      </c>
      <c r="P166" s="202">
        <f t="shared" si="49"/>
        <v>279550.24796430691</v>
      </c>
      <c r="Q166" s="189">
        <f>IFERROR(VLOOKUP(A166,[1]Energiindhold!$A$2:$C$11,3,FALSE),IFERROR(VLOOKUP(A166,[1]Biogasudbytte!$A$2:$B$18,2,FALSE)*[1]Energiindhold!$C$10,0))*O166</f>
        <v>0</v>
      </c>
      <c r="R166" s="189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9">
        <f>IFERROR(VLOOKUP(A166,[1]Biogasudbytte!$A$2:$B$18,2,FALSE)*[1]Energiindhold!$C$10,0)*J166*IFERROR(VLOOKUP(A166,Biogasanlæg!$F$3:$G$8,2,FALSE),1)</f>
        <v>1.0296284310673407</v>
      </c>
      <c r="T166" s="190">
        <f t="shared" si="50"/>
        <v>0</v>
      </c>
      <c r="U166" s="188">
        <f>O166*IFERROR(VLOOKUP(A166,[1]Tørstofindhold!A$2:B$24,2,FALSE),0)</f>
        <v>0</v>
      </c>
      <c r="V166" s="189">
        <f>IF(D166=År1,P166,SUM(O166,P166))*IFERROR(VLOOKUP(A166,[1]Tørstofindhold!A$2:B$24,2,FALSE),0)</f>
        <v>117411.1041450089</v>
      </c>
      <c r="W166" s="189">
        <f>J166*IFERROR(VLOOKUP(A166,[1]Tørstofindhold!A$2:B$24,2,FALSE),0)</f>
        <v>117411.1041450089</v>
      </c>
      <c r="X166" s="190">
        <f t="shared" si="51"/>
        <v>0</v>
      </c>
      <c r="Y166" s="170">
        <f t="shared" si="43"/>
        <v>1</v>
      </c>
      <c r="Z166" s="103">
        <f t="shared" si="44"/>
        <v>0</v>
      </c>
    </row>
    <row r="167" spans="1:26" hidden="1" x14ac:dyDescent="0.25">
      <c r="A167" s="191" t="s">
        <v>56</v>
      </c>
      <c r="B167" s="191"/>
      <c r="C167" s="191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1">
        <f t="shared" si="47"/>
        <v>2019</v>
      </c>
      <c r="E167" s="189" t="s">
        <v>24</v>
      </c>
      <c r="F167" s="192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2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9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2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2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2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2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6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1">
        <f t="shared" si="48"/>
        <v>145851.60720031991</v>
      </c>
      <c r="O167" s="192">
        <f t="shared" si="39"/>
        <v>0</v>
      </c>
      <c r="P167" s="202">
        <f t="shared" si="49"/>
        <v>0</v>
      </c>
      <c r="Q167" s="189">
        <f>IFERROR(VLOOKUP(A167,[1]Energiindhold!$A$2:$C$11,3,FALSE),IFERROR(VLOOKUP(A167,[1]Biogasudbytte!$A$2:$B$18,2,FALSE)*[1]Energiindhold!$C$10,0))*O167</f>
        <v>0</v>
      </c>
      <c r="R167" s="189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9">
        <f>IFERROR(VLOOKUP(A167,[1]Biogasudbytte!$A$2:$B$18,2,FALSE)*[1]Energiindhold!$C$10,0)*J167*IFERROR(VLOOKUP(A167,Biogasanlæg!$F$3:$G$8,2,FALSE),1)</f>
        <v>0</v>
      </c>
      <c r="T167" s="190">
        <f t="shared" si="50"/>
        <v>0</v>
      </c>
      <c r="U167" s="188">
        <f>O167*IFERROR(VLOOKUP(A167,[1]Tørstofindhold!A$2:B$24,2,FALSE),0)</f>
        <v>0</v>
      </c>
      <c r="V167" s="189">
        <f>IF(D167=År1,P167,SUM(O167,P167))*IFERROR(VLOOKUP(A167,[1]Tørstofindhold!A$2:B$24,2,FALSE),0)</f>
        <v>0</v>
      </c>
      <c r="W167" s="189">
        <f>J167*IFERROR(VLOOKUP(A167,[1]Tørstofindhold!A$2:B$24,2,FALSE),0)</f>
        <v>0</v>
      </c>
      <c r="X167" s="190">
        <f t="shared" si="51"/>
        <v>0</v>
      </c>
      <c r="Y167" s="170">
        <f t="shared" si="43"/>
        <v>0</v>
      </c>
      <c r="Z167" s="103">
        <f t="shared" si="44"/>
        <v>1</v>
      </c>
    </row>
    <row r="168" spans="1:26" hidden="1" x14ac:dyDescent="0.25">
      <c r="A168" s="191" t="s">
        <v>12</v>
      </c>
      <c r="B168" s="191"/>
      <c r="C168" s="191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1">
        <f t="shared" si="47"/>
        <v>2019</v>
      </c>
      <c r="E168" s="189" t="s">
        <v>24</v>
      </c>
      <c r="F168" s="192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2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9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2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2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2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2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6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1">
        <f t="shared" si="48"/>
        <v>14492.735557536857</v>
      </c>
      <c r="O168" s="192">
        <f t="shared" si="39"/>
        <v>0</v>
      </c>
      <c r="P168" s="202">
        <f t="shared" si="49"/>
        <v>0</v>
      </c>
      <c r="Q168" s="189">
        <f>IFERROR(VLOOKUP(A168,[1]Energiindhold!$A$2:$C$11,3,FALSE),IFERROR(VLOOKUP(A168,[1]Biogasudbytte!$A$2:$B$18,2,FALSE)*[1]Energiindhold!$C$10,0))*O168</f>
        <v>0</v>
      </c>
      <c r="R168" s="189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9">
        <f>IFERROR(VLOOKUP(A168,[1]Biogasudbytte!$A$2:$B$18,2,FALSE)*[1]Energiindhold!$C$10,0)*J168*IFERROR(VLOOKUP(A168,Biogasanlæg!$F$3:$G$8,2,FALSE),1)</f>
        <v>0</v>
      </c>
      <c r="T168" s="190">
        <f t="shared" si="50"/>
        <v>0</v>
      </c>
      <c r="U168" s="188">
        <f>O168*IFERROR(VLOOKUP(A168,[1]Tørstofindhold!A$2:B$24,2,FALSE),0)</f>
        <v>0</v>
      </c>
      <c r="V168" s="189">
        <f>IF(D168=År1,P168,SUM(O168,P168))*IFERROR(VLOOKUP(A168,[1]Tørstofindhold!A$2:B$24,2,FALSE),0)</f>
        <v>0</v>
      </c>
      <c r="W168" s="189">
        <f>J168*IFERROR(VLOOKUP(A168,[1]Tørstofindhold!A$2:B$24,2,FALSE),0)</f>
        <v>0</v>
      </c>
      <c r="X168" s="190">
        <f t="shared" si="51"/>
        <v>0</v>
      </c>
      <c r="Y168" s="170">
        <f t="shared" si="43"/>
        <v>0</v>
      </c>
      <c r="Z168" s="103">
        <f t="shared" si="44"/>
        <v>1</v>
      </c>
    </row>
    <row r="169" spans="1:26" hidden="1" x14ac:dyDescent="0.25">
      <c r="A169" s="191" t="s">
        <v>48</v>
      </c>
      <c r="B169" s="191" t="s">
        <v>228</v>
      </c>
      <c r="C169" s="191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1">
        <f t="shared" si="47"/>
        <v>2019</v>
      </c>
      <c r="E169" s="189" t="s">
        <v>24</v>
      </c>
      <c r="F169" s="192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2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9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2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2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2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2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6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1">
        <f t="shared" si="48"/>
        <v>1309065.6209408126</v>
      </c>
      <c r="O169" s="192">
        <f t="shared" si="39"/>
        <v>1309065.6209408126</v>
      </c>
      <c r="P169" s="202">
        <f t="shared" si="49"/>
        <v>945.81467090137289</v>
      </c>
      <c r="Q169" s="189">
        <f>IFERROR(VLOOKUP(A169,[1]Energiindhold!$A$2:$C$11,3,FALSE),IFERROR(VLOOKUP(A169,[1]Biogasudbytte!$A$2:$B$18,2,FALSE)*[1]Energiindhold!$C$10,0))*O169</f>
        <v>4.4833664825353523</v>
      </c>
      <c r="R169" s="189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9">
        <f>IFERROR(VLOOKUP(A169,[1]Biogasudbytte!$A$2:$B$18,2,FALSE)*[1]Energiindhold!$C$10,0)*J169*IFERROR(VLOOKUP(A169,Biogasanlæg!$F$3:$G$8,2,FALSE),1)</f>
        <v>3.2392828337832764E-3</v>
      </c>
      <c r="T169" s="190">
        <f t="shared" si="50"/>
        <v>0</v>
      </c>
      <c r="U169" s="188">
        <f>O169*IFERROR(VLOOKUP(A169,[1]Tørstofindhold!A$2:B$24,2,FALSE),0)</f>
        <v>405810.34249165189</v>
      </c>
      <c r="V169" s="189">
        <f>IF(D169=År1,P169,SUM(O169,P169))*IFERROR(VLOOKUP(A169,[1]Tørstofindhold!A$2:B$24,2,FALSE),0)</f>
        <v>293.20254797942562</v>
      </c>
      <c r="W169" s="189">
        <f>J169*IFERROR(VLOOKUP(A169,[1]Tørstofindhold!A$2:B$24,2,FALSE),0)</f>
        <v>293.20254797942562</v>
      </c>
      <c r="X169" s="190">
        <f t="shared" si="51"/>
        <v>0</v>
      </c>
      <c r="Y169" s="170">
        <f t="shared" si="43"/>
        <v>0</v>
      </c>
      <c r="Z169" s="103">
        <f t="shared" si="44"/>
        <v>1</v>
      </c>
    </row>
    <row r="170" spans="1:26" hidden="1" x14ac:dyDescent="0.25">
      <c r="A170" s="191" t="s">
        <v>116</v>
      </c>
      <c r="B170" s="191"/>
      <c r="C170" s="191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1">
        <f t="shared" si="47"/>
        <v>2019</v>
      </c>
      <c r="E170" s="189" t="s">
        <v>24</v>
      </c>
      <c r="F170" s="192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2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9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2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2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2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2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6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1">
        <f t="shared" ca="1" si="48"/>
        <v>-377069.89971696056</v>
      </c>
      <c r="O170" s="192">
        <f t="shared" si="39"/>
        <v>0</v>
      </c>
      <c r="P170" s="202">
        <f t="shared" si="49"/>
        <v>0</v>
      </c>
      <c r="Q170" s="189">
        <f>IFERROR(VLOOKUP(A170,[1]Energiindhold!$A$2:$C$11,3,FALSE),IFERROR(VLOOKUP(A170,[1]Biogasudbytte!$A$2:$B$18,2,FALSE)*[1]Energiindhold!$C$10,0))*O170</f>
        <v>0</v>
      </c>
      <c r="R170" s="189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9">
        <f>IFERROR(VLOOKUP(A170,[1]Biogasudbytte!$A$2:$B$18,2,FALSE)*[1]Energiindhold!$C$10,0)*J170*IFERROR(VLOOKUP(A170,Biogasanlæg!$F$3:$G$8,2,FALSE),1)</f>
        <v>0</v>
      </c>
      <c r="T170" s="190">
        <f t="shared" si="50"/>
        <v>0</v>
      </c>
      <c r="U170" s="188">
        <f>O170*IFERROR(VLOOKUP(A170,[1]Tørstofindhold!A$2:B$24,2,FALSE),0)</f>
        <v>0</v>
      </c>
      <c r="V170" s="189">
        <f>IF(D170=År1,P170,SUM(O170,P170))*IFERROR(VLOOKUP(A170,[1]Tørstofindhold!A$2:B$24,2,FALSE),0)</f>
        <v>0</v>
      </c>
      <c r="W170" s="189">
        <f>J170*IFERROR(VLOOKUP(A170,[1]Tørstofindhold!A$2:B$24,2,FALSE),0)</f>
        <v>0</v>
      </c>
      <c r="X170" s="190">
        <f t="shared" si="51"/>
        <v>0</v>
      </c>
      <c r="Y170" s="170">
        <f t="shared" ca="1" si="43"/>
        <v>1</v>
      </c>
      <c r="Z170" s="103">
        <f t="shared" ca="1" si="44"/>
        <v>0</v>
      </c>
    </row>
    <row r="171" spans="1:26" hidden="1" x14ac:dyDescent="0.25">
      <c r="A171" s="191" t="s">
        <v>137</v>
      </c>
      <c r="B171" s="191" t="s">
        <v>223</v>
      </c>
      <c r="C171" s="191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1">
        <f t="shared" si="47"/>
        <v>2019</v>
      </c>
      <c r="E171" s="189" t="s">
        <v>24</v>
      </c>
      <c r="F171" s="192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2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9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2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2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2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2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6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1">
        <f t="shared" si="48"/>
        <v>0</v>
      </c>
      <c r="O171" s="192">
        <f t="shared" si="39"/>
        <v>0</v>
      </c>
      <c r="P171" s="202">
        <f t="shared" si="49"/>
        <v>286645.05985025823</v>
      </c>
      <c r="Q171" s="189">
        <f>IFERROR(VLOOKUP(A171,[1]Energiindhold!$A$2:$C$11,3,FALSE),IFERROR(VLOOKUP(A171,[1]Biogasudbytte!$A$2:$B$18,2,FALSE)*[1]Energiindhold!$C$10,0))*O171</f>
        <v>0</v>
      </c>
      <c r="R171" s="189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9">
        <f>IFERROR(VLOOKUP(A171,[1]Biogasudbytte!$A$2:$B$18,2,FALSE)*[1]Energiindhold!$C$10,0)*J171*IFERROR(VLOOKUP(A171,Biogasanlæg!$F$3:$G$8,2,FALSE),1)</f>
        <v>0.14509686284560222</v>
      </c>
      <c r="T171" s="190">
        <f t="shared" si="50"/>
        <v>0</v>
      </c>
      <c r="U171" s="188">
        <f>O171*IFERROR(VLOOKUP(A171,[1]Tørstofindhold!A$2:B$24,2,FALSE),0)</f>
        <v>0</v>
      </c>
      <c r="V171" s="189">
        <f>IF(D171=År1,P171,SUM(O171,P171))*IFERROR(VLOOKUP(A171,[1]Tørstofindhold!A$2:B$24,2,FALSE),0)</f>
        <v>21785.024548619625</v>
      </c>
      <c r="W171" s="189">
        <f>J171*IFERROR(VLOOKUP(A171,[1]Tørstofindhold!A$2:B$24,2,FALSE),0)</f>
        <v>21785.024548619625</v>
      </c>
      <c r="X171" s="190">
        <f t="shared" si="51"/>
        <v>0</v>
      </c>
      <c r="Y171" s="170">
        <f t="shared" si="43"/>
        <v>0</v>
      </c>
      <c r="Z171" s="103">
        <f t="shared" si="44"/>
        <v>0</v>
      </c>
    </row>
    <row r="172" spans="1:26" hidden="1" x14ac:dyDescent="0.25">
      <c r="A172" s="191" t="s">
        <v>109</v>
      </c>
      <c r="B172" s="191"/>
      <c r="C172" s="191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1">
        <f t="shared" si="47"/>
        <v>2019</v>
      </c>
      <c r="E172" s="189" t="s">
        <v>24</v>
      </c>
      <c r="F172" s="192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2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9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2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2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2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2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6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1">
        <f t="shared" si="48"/>
        <v>-70551.412916692323</v>
      </c>
      <c r="O172" s="192">
        <f t="shared" si="39"/>
        <v>0</v>
      </c>
      <c r="P172" s="202">
        <f t="shared" si="49"/>
        <v>0</v>
      </c>
      <c r="Q172" s="189">
        <f>IFERROR(VLOOKUP(A172,[1]Energiindhold!$A$2:$C$11,3,FALSE),IFERROR(VLOOKUP(A172,[1]Biogasudbytte!$A$2:$B$18,2,FALSE)*[1]Energiindhold!$C$10,0))*O172</f>
        <v>0</v>
      </c>
      <c r="R172" s="189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9">
        <f>IFERROR(VLOOKUP(A172,[1]Biogasudbytte!$A$2:$B$18,2,FALSE)*[1]Energiindhold!$C$10,0)*J172*IFERROR(VLOOKUP(A172,Biogasanlæg!$F$3:$G$8,2,FALSE),1)</f>
        <v>0</v>
      </c>
      <c r="T172" s="190">
        <f t="shared" si="50"/>
        <v>0</v>
      </c>
      <c r="U172" s="188">
        <f>O172*IFERROR(VLOOKUP(A172,[1]Tørstofindhold!A$2:B$24,2,FALSE),0)</f>
        <v>0</v>
      </c>
      <c r="V172" s="189">
        <f>IF(D172=År1,P172,SUM(O172,P172))*IFERROR(VLOOKUP(A172,[1]Tørstofindhold!A$2:B$24,2,FALSE),0)</f>
        <v>0</v>
      </c>
      <c r="W172" s="189">
        <f>J172*IFERROR(VLOOKUP(A172,[1]Tørstofindhold!A$2:B$24,2,FALSE),0)</f>
        <v>0</v>
      </c>
      <c r="X172" s="190">
        <f t="shared" si="51"/>
        <v>0</v>
      </c>
      <c r="Y172" s="170">
        <f t="shared" si="43"/>
        <v>0</v>
      </c>
      <c r="Z172" s="103">
        <f t="shared" si="44"/>
        <v>1</v>
      </c>
    </row>
    <row r="173" spans="1:26" hidden="1" x14ac:dyDescent="0.25">
      <c r="A173" s="189" t="s">
        <v>53</v>
      </c>
      <c r="B173" s="191" t="s">
        <v>225</v>
      </c>
      <c r="C173" s="191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1">
        <f t="shared" si="47"/>
        <v>2019</v>
      </c>
      <c r="E173" s="189" t="s">
        <v>24</v>
      </c>
      <c r="F173" s="192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2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9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2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2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2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2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6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1">
        <f t="shared" si="48"/>
        <v>-343401.0681058818</v>
      </c>
      <c r="O173" s="192">
        <f t="shared" si="39"/>
        <v>0</v>
      </c>
      <c r="P173" s="202">
        <f t="shared" si="49"/>
        <v>15204.565068438918</v>
      </c>
      <c r="Q173" s="189">
        <f>IFERROR(VLOOKUP(A173,[1]Energiindhold!$A$2:$C$11,3,FALSE),IFERROR(VLOOKUP(A173,[1]Biogasudbytte!$A$2:$B$18,2,FALSE)*[1]Energiindhold!$C$10,0))*O173</f>
        <v>0</v>
      </c>
      <c r="R173" s="189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9">
        <f>IFERROR(VLOOKUP(A173,[1]Biogasudbytte!$A$2:$B$18,2,FALSE)*[1]Energiindhold!$C$10,0)*J173*IFERROR(VLOOKUP(A173,Biogasanlæg!$F$3:$G$8,2,FALSE),1)</f>
        <v>5.4584388595695719E-2</v>
      </c>
      <c r="T173" s="190">
        <f t="shared" si="50"/>
        <v>0</v>
      </c>
      <c r="U173" s="188">
        <f>O173*IFERROR(VLOOKUP(A173,[1]Tørstofindhold!A$2:B$24,2,FALSE),0)</f>
        <v>0</v>
      </c>
      <c r="V173" s="189">
        <f>IF(D173=År1,P173,SUM(O173,P173))*IFERROR(VLOOKUP(A173,[1]Tørstofindhold!A$2:B$24,2,FALSE),0)</f>
        <v>4561.3695205316753</v>
      </c>
      <c r="W173" s="189">
        <f>J173*IFERROR(VLOOKUP(A173,[1]Tørstofindhold!A$2:B$24,2,FALSE),0)</f>
        <v>4561.3695205316753</v>
      </c>
      <c r="X173" s="190">
        <f t="shared" si="51"/>
        <v>0</v>
      </c>
      <c r="Y173" s="170">
        <f t="shared" si="43"/>
        <v>0</v>
      </c>
      <c r="Z173" s="103">
        <f t="shared" si="44"/>
        <v>1</v>
      </c>
    </row>
    <row r="174" spans="1:26" hidden="1" x14ac:dyDescent="0.25">
      <c r="A174" s="191" t="s">
        <v>117</v>
      </c>
      <c r="B174" s="191"/>
      <c r="C174" s="191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1">
        <f t="shared" si="47"/>
        <v>2019</v>
      </c>
      <c r="E174" s="189" t="s">
        <v>24</v>
      </c>
      <c r="F174" s="192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2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9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2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2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2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2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6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1">
        <f t="shared" si="48"/>
        <v>-166933.87454175885</v>
      </c>
      <c r="O174" s="192">
        <f t="shared" si="39"/>
        <v>0</v>
      </c>
      <c r="P174" s="202">
        <f t="shared" si="49"/>
        <v>0</v>
      </c>
      <c r="Q174" s="189">
        <f>IFERROR(VLOOKUP(A174,[1]Energiindhold!$A$2:$C$11,3,FALSE),IFERROR(VLOOKUP(A174,[1]Biogasudbytte!$A$2:$B$18,2,FALSE)*[1]Energiindhold!$C$10,0))*O174</f>
        <v>0</v>
      </c>
      <c r="R174" s="189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9">
        <f>IFERROR(VLOOKUP(A174,[1]Biogasudbytte!$A$2:$B$18,2,FALSE)*[1]Energiindhold!$C$10,0)*J174*IFERROR(VLOOKUP(A174,Biogasanlæg!$F$3:$G$8,2,FALSE),1)</f>
        <v>0</v>
      </c>
      <c r="T174" s="190">
        <f t="shared" si="50"/>
        <v>0</v>
      </c>
      <c r="U174" s="188">
        <f>O174*IFERROR(VLOOKUP(A174,[1]Tørstofindhold!A$2:B$24,2,FALSE),0)</f>
        <v>0</v>
      </c>
      <c r="V174" s="189">
        <f>IF(D174=År1,P174,SUM(O174,P174))*IFERROR(VLOOKUP(A174,[1]Tørstofindhold!A$2:B$24,2,FALSE),0)</f>
        <v>0</v>
      </c>
      <c r="W174" s="189">
        <f>J174*IFERROR(VLOOKUP(A174,[1]Tørstofindhold!A$2:B$24,2,FALSE),0)</f>
        <v>0</v>
      </c>
      <c r="X174" s="190">
        <f t="shared" si="51"/>
        <v>0</v>
      </c>
      <c r="Y174" s="170">
        <f t="shared" si="43"/>
        <v>0</v>
      </c>
      <c r="Z174" s="103">
        <f t="shared" si="44"/>
        <v>1</v>
      </c>
    </row>
    <row r="175" spans="1:26" hidden="1" x14ac:dyDescent="0.25">
      <c r="A175" s="191" t="s">
        <v>107</v>
      </c>
      <c r="B175" s="191" t="s">
        <v>227</v>
      </c>
      <c r="C175" s="191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1">
        <f t="shared" si="47"/>
        <v>2019</v>
      </c>
      <c r="E175" s="189" t="s">
        <v>24</v>
      </c>
      <c r="F175" s="192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2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9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2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2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2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2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6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1">
        <f t="shared" si="48"/>
        <v>1.1976865502381491</v>
      </c>
      <c r="O175" s="192">
        <f t="shared" si="39"/>
        <v>1.1976865502381491</v>
      </c>
      <c r="P175" s="202">
        <f t="shared" si="49"/>
        <v>0</v>
      </c>
      <c r="Q175" s="189">
        <f>IFERROR(VLOOKUP(A175,[1]Energiindhold!$A$2:$C$11,3,FALSE),IFERROR(VLOOKUP(A175,[1]Biogasudbytte!$A$2:$B$18,2,FALSE)*[1]Energiindhold!$C$10,0))*O175</f>
        <v>1.0749236788387388E-6</v>
      </c>
      <c r="R175" s="189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9">
        <f>IFERROR(VLOOKUP(A175,[1]Biogasudbytte!$A$2:$B$18,2,FALSE)*[1]Energiindhold!$C$10,0)*J175*IFERROR(VLOOKUP(A175,Biogasanlæg!$F$3:$G$8,2,FALSE),1)</f>
        <v>0</v>
      </c>
      <c r="T175" s="190">
        <f t="shared" si="50"/>
        <v>0</v>
      </c>
      <c r="U175" s="188">
        <f>O175*IFERROR(VLOOKUP(A175,[1]Tørstofindhold!A$2:B$24,2,FALSE),0)</f>
        <v>0.17965298253572234</v>
      </c>
      <c r="V175" s="189">
        <f>IF(D175=År1,P175,SUM(O175,P175))*IFERROR(VLOOKUP(A175,[1]Tørstofindhold!A$2:B$24,2,FALSE),0)</f>
        <v>0</v>
      </c>
      <c r="W175" s="189">
        <f>J175*IFERROR(VLOOKUP(A175,[1]Tørstofindhold!A$2:B$24,2,FALSE),0)</f>
        <v>0</v>
      </c>
      <c r="X175" s="190">
        <f t="shared" si="51"/>
        <v>0</v>
      </c>
      <c r="Y175" s="170">
        <f t="shared" si="43"/>
        <v>0</v>
      </c>
      <c r="Z175" s="103">
        <f t="shared" si="44"/>
        <v>1</v>
      </c>
    </row>
    <row r="176" spans="1:26" hidden="1" x14ac:dyDescent="0.25">
      <c r="A176" s="191" t="s">
        <v>14</v>
      </c>
      <c r="B176" s="191"/>
      <c r="C176" s="191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1">
        <f t="shared" si="47"/>
        <v>2019</v>
      </c>
      <c r="E176" s="189" t="s">
        <v>24</v>
      </c>
      <c r="F176" s="192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2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9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2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2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2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2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6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1">
        <f t="shared" si="48"/>
        <v>-41950.335705993944</v>
      </c>
      <c r="O176" s="192">
        <f t="shared" si="39"/>
        <v>0</v>
      </c>
      <c r="P176" s="202">
        <f t="shared" si="49"/>
        <v>0</v>
      </c>
      <c r="Q176" s="189">
        <f>IFERROR(VLOOKUP(A176,[1]Energiindhold!$A$2:$C$11,3,FALSE),IFERROR(VLOOKUP(A176,[1]Biogasudbytte!$A$2:$B$18,2,FALSE)*[1]Energiindhold!$C$10,0))*O176</f>
        <v>0</v>
      </c>
      <c r="R176" s="189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9">
        <f>IFERROR(VLOOKUP(A176,[1]Biogasudbytte!$A$2:$B$18,2,FALSE)*[1]Energiindhold!$C$10,0)*J176*IFERROR(VLOOKUP(A176,Biogasanlæg!$F$3:$G$8,2,FALSE),1)</f>
        <v>0</v>
      </c>
      <c r="T176" s="190">
        <f t="shared" si="50"/>
        <v>0</v>
      </c>
      <c r="U176" s="188">
        <f>O176*IFERROR(VLOOKUP(A176,[1]Tørstofindhold!A$2:B$24,2,FALSE),0)</f>
        <v>0</v>
      </c>
      <c r="V176" s="189">
        <f>IF(D176=År1,P176,SUM(O176,P176))*IFERROR(VLOOKUP(A176,[1]Tørstofindhold!A$2:B$24,2,FALSE),0)</f>
        <v>0</v>
      </c>
      <c r="W176" s="189">
        <f>J176*IFERROR(VLOOKUP(A176,[1]Tørstofindhold!A$2:B$24,2,FALSE),0)</f>
        <v>0</v>
      </c>
      <c r="X176" s="190">
        <f t="shared" si="51"/>
        <v>0</v>
      </c>
      <c r="Y176" s="170">
        <f t="shared" si="43"/>
        <v>0</v>
      </c>
      <c r="Z176" s="103">
        <f t="shared" si="44"/>
        <v>1</v>
      </c>
    </row>
    <row r="177" spans="1:26" hidden="1" x14ac:dyDescent="0.25">
      <c r="A177" s="191" t="s">
        <v>55</v>
      </c>
      <c r="B177" s="191"/>
      <c r="C177" s="191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1">
        <f t="shared" si="47"/>
        <v>2019</v>
      </c>
      <c r="E177" s="189" t="s">
        <v>24</v>
      </c>
      <c r="F177" s="192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2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9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2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2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2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2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6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1">
        <f t="shared" si="48"/>
        <v>396057.87190930446</v>
      </c>
      <c r="O177" s="192">
        <f t="shared" si="39"/>
        <v>0</v>
      </c>
      <c r="P177" s="202">
        <f t="shared" si="49"/>
        <v>0</v>
      </c>
      <c r="Q177" s="189">
        <f>IFERROR(VLOOKUP(A177,[1]Energiindhold!$A$2:$C$11,3,FALSE),IFERROR(VLOOKUP(A177,[1]Biogasudbytte!$A$2:$B$18,2,FALSE)*[1]Energiindhold!$C$10,0))*O177</f>
        <v>0</v>
      </c>
      <c r="R177" s="189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9">
        <f>IFERROR(VLOOKUP(A177,[1]Biogasudbytte!$A$2:$B$18,2,FALSE)*[1]Energiindhold!$C$10,0)*J177*IFERROR(VLOOKUP(A177,Biogasanlæg!$F$3:$G$8,2,FALSE),1)</f>
        <v>0</v>
      </c>
      <c r="T177" s="190">
        <f t="shared" si="50"/>
        <v>0</v>
      </c>
      <c r="U177" s="188">
        <f>O177*IFERROR(VLOOKUP(A177,[1]Tørstofindhold!A$2:B$24,2,FALSE),0)</f>
        <v>0</v>
      </c>
      <c r="V177" s="189">
        <f>IF(D177=År1,P177,SUM(O177,P177))*IFERROR(VLOOKUP(A177,[1]Tørstofindhold!A$2:B$24,2,FALSE),0)</f>
        <v>0</v>
      </c>
      <c r="W177" s="189">
        <f>J177*IFERROR(VLOOKUP(A177,[1]Tørstofindhold!A$2:B$24,2,FALSE),0)</f>
        <v>0</v>
      </c>
      <c r="X177" s="190">
        <f t="shared" si="51"/>
        <v>0</v>
      </c>
      <c r="Y177" s="170">
        <f t="shared" si="43"/>
        <v>0</v>
      </c>
      <c r="Z177" s="103">
        <f t="shared" si="44"/>
        <v>1</v>
      </c>
    </row>
    <row r="178" spans="1:26" hidden="1" x14ac:dyDescent="0.25">
      <c r="A178" s="191" t="s">
        <v>96</v>
      </c>
      <c r="B178" s="191" t="s">
        <v>226</v>
      </c>
      <c r="C178" s="191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1">
        <f t="shared" si="47"/>
        <v>2019</v>
      </c>
      <c r="E178" s="189" t="s">
        <v>24</v>
      </c>
      <c r="F178" s="192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2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9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2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2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2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2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6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1">
        <f t="shared" si="48"/>
        <v>0</v>
      </c>
      <c r="O178" s="192">
        <f t="shared" si="39"/>
        <v>0</v>
      </c>
      <c r="P178" s="202">
        <f t="shared" si="49"/>
        <v>37577.319945022478</v>
      </c>
      <c r="Q178" s="189">
        <f>IFERROR(VLOOKUP(A178,[1]Energiindhold!$A$2:$C$11,3,FALSE),IFERROR(VLOOKUP(A178,[1]Biogasudbytte!$A$2:$B$18,2,FALSE)*[1]Energiindhold!$C$10,0))*O178</f>
        <v>0</v>
      </c>
      <c r="R178" s="189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9">
        <f>IFERROR(VLOOKUP(A178,[1]Biogasudbytte!$A$2:$B$18,2,FALSE)*[1]Energiindhold!$C$10,0)*J178*IFERROR(VLOOKUP(A178,Biogasanlæg!$F$3:$G$8,2,FALSE),1)</f>
        <v>0</v>
      </c>
      <c r="T178" s="190">
        <f t="shared" si="50"/>
        <v>0.69142268698841347</v>
      </c>
      <c r="U178" s="188">
        <f>O178*IFERROR(VLOOKUP(A178,[1]Tørstofindhold!A$2:B$24,2,FALSE),0)</f>
        <v>0</v>
      </c>
      <c r="V178" s="189">
        <f>IF(D178=År1,P178,SUM(O178,P178))*IFERROR(VLOOKUP(A178,[1]Tørstofindhold!A$2:B$24,2,FALSE),0)</f>
        <v>15594.58777718433</v>
      </c>
      <c r="W178" s="189">
        <f>J178*IFERROR(VLOOKUP(A178,[1]Tørstofindhold!A$2:B$24,2,FALSE),0)</f>
        <v>0</v>
      </c>
      <c r="X178" s="190">
        <f t="shared" si="51"/>
        <v>15594.58777718433</v>
      </c>
      <c r="Y178" s="170">
        <f t="shared" si="43"/>
        <v>0</v>
      </c>
      <c r="Z178" s="103">
        <f t="shared" si="44"/>
        <v>0</v>
      </c>
    </row>
    <row r="179" spans="1:26" hidden="1" x14ac:dyDescent="0.25">
      <c r="A179" s="191" t="s">
        <v>316</v>
      </c>
      <c r="B179" s="191" t="s">
        <v>322</v>
      </c>
      <c r="C179" s="191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1">
        <f t="shared" si="47"/>
        <v>2019</v>
      </c>
      <c r="E179" s="189" t="s">
        <v>24</v>
      </c>
      <c r="F179" s="192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2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9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2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2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2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2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6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1">
        <f t="shared" ref="N179:N180" si="52">F179-SUM(G179:M179)</f>
        <v>0</v>
      </c>
      <c r="O179" s="192">
        <f t="shared" si="39"/>
        <v>0</v>
      </c>
      <c r="P179" s="202">
        <f t="shared" ref="P179:P180" si="53">SUM(J179,L179)</f>
        <v>0</v>
      </c>
      <c r="Q179" s="189">
        <f>IFERROR(VLOOKUP(A179,[1]Energiindhold!$A$2:$C$11,3,FALSE),IFERROR(VLOOKUP(A179,[1]Biogasudbytte!$A$2:$B$18,2,FALSE)*[1]Energiindhold!$C$10,0))*O179</f>
        <v>0</v>
      </c>
      <c r="R179" s="189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9">
        <f>IFERROR(VLOOKUP(A179,[1]Biogasudbytte!$A$2:$B$18,2,FALSE)*[1]Energiindhold!$C$10,0)*J179*IFERROR(VLOOKUP(A179,Biogasanlæg!$F$3:$G$8,2,FALSE),1)</f>
        <v>0</v>
      </c>
      <c r="T179" s="190">
        <f t="shared" ref="T179:T180" si="54">R179-S179</f>
        <v>0</v>
      </c>
      <c r="U179" s="188">
        <f>O179*IFERROR(VLOOKUP(A179,[1]Tørstofindhold!A$2:B$24,2,FALSE),0)</f>
        <v>0</v>
      </c>
      <c r="V179" s="189">
        <f>IF(D179=År1,P179,SUM(O179,P179))*IFERROR(VLOOKUP(A179,[1]Tørstofindhold!A$2:B$24,2,FALSE),0)</f>
        <v>0</v>
      </c>
      <c r="W179" s="189">
        <f>J179*IFERROR(VLOOKUP(A179,[1]Tørstofindhold!A$2:B$24,2,FALSE),0)</f>
        <v>0</v>
      </c>
      <c r="X179" s="190">
        <f t="shared" ref="X179:X180" si="55">V179-W179</f>
        <v>0</v>
      </c>
      <c r="Y179" s="170">
        <f t="shared" si="43"/>
        <v>0</v>
      </c>
      <c r="Z179" s="103">
        <f t="shared" si="44"/>
        <v>0</v>
      </c>
    </row>
    <row r="180" spans="1:26" hidden="1" x14ac:dyDescent="0.25">
      <c r="A180" s="191" t="s">
        <v>317</v>
      </c>
      <c r="B180" s="191" t="s">
        <v>322</v>
      </c>
      <c r="C180" s="191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1">
        <f t="shared" si="47"/>
        <v>2019</v>
      </c>
      <c r="E180" s="189" t="s">
        <v>24</v>
      </c>
      <c r="F180" s="192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2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9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2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2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2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2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6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1">
        <f t="shared" si="52"/>
        <v>0</v>
      </c>
      <c r="O180" s="192">
        <f t="shared" si="39"/>
        <v>0</v>
      </c>
      <c r="P180" s="202">
        <f t="shared" si="53"/>
        <v>0</v>
      </c>
      <c r="Q180" s="189">
        <f>IFERROR(VLOOKUP(A180,[1]Energiindhold!$A$2:$C$11,3,FALSE),IFERROR(VLOOKUP(A180,[1]Biogasudbytte!$A$2:$B$18,2,FALSE)*[1]Energiindhold!$C$10,0))*O180</f>
        <v>0</v>
      </c>
      <c r="R180" s="189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9">
        <f>IFERROR(VLOOKUP(A180,[1]Biogasudbytte!$A$2:$B$18,2,FALSE)*[1]Energiindhold!$C$10,0)*J180*IFERROR(VLOOKUP(A180,Biogasanlæg!$F$3:$G$8,2,FALSE),1)</f>
        <v>0</v>
      </c>
      <c r="T180" s="190">
        <f t="shared" si="54"/>
        <v>0</v>
      </c>
      <c r="U180" s="188">
        <f>O180*IFERROR(VLOOKUP(A180,[1]Tørstofindhold!A$2:B$24,2,FALSE),0)</f>
        <v>0</v>
      </c>
      <c r="V180" s="189">
        <f>IF(D180=År1,P180,SUM(O180,P180))*IFERROR(VLOOKUP(A180,[1]Tørstofindhold!A$2:B$24,2,FALSE),0)</f>
        <v>0</v>
      </c>
      <c r="W180" s="189">
        <f>J180*IFERROR(VLOOKUP(A180,[1]Tørstofindhold!A$2:B$24,2,FALSE),0)</f>
        <v>0</v>
      </c>
      <c r="X180" s="190">
        <f t="shared" si="55"/>
        <v>0</v>
      </c>
      <c r="Y180" s="170">
        <f t="shared" si="43"/>
        <v>0</v>
      </c>
      <c r="Z180" s="103">
        <f t="shared" si="44"/>
        <v>0</v>
      </c>
    </row>
    <row r="181" spans="1:26" hidden="1" x14ac:dyDescent="0.25">
      <c r="A181" s="191" t="s">
        <v>118</v>
      </c>
      <c r="B181" s="191"/>
      <c r="C181" s="191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1">
        <f t="shared" si="47"/>
        <v>2019</v>
      </c>
      <c r="E181" s="189" t="s">
        <v>24</v>
      </c>
      <c r="F181" s="192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2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9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2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2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2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2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6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1">
        <f t="shared" si="48"/>
        <v>346998.01962126989</v>
      </c>
      <c r="O181" s="192">
        <f t="shared" si="39"/>
        <v>0</v>
      </c>
      <c r="P181" s="202">
        <f t="shared" si="49"/>
        <v>0</v>
      </c>
      <c r="Q181" s="189">
        <f>IFERROR(VLOOKUP(A181,[1]Energiindhold!$A$2:$C$11,3,FALSE),IFERROR(VLOOKUP(A181,[1]Biogasudbytte!$A$2:$B$18,2,FALSE)*[1]Energiindhold!$C$10,0))*O181</f>
        <v>0</v>
      </c>
      <c r="R181" s="189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9">
        <f>IFERROR(VLOOKUP(A181,[1]Biogasudbytte!$A$2:$B$18,2,FALSE)*[1]Energiindhold!$C$10,0)*J181*IFERROR(VLOOKUP(A181,Biogasanlæg!$F$3:$G$8,2,FALSE),1)</f>
        <v>0</v>
      </c>
      <c r="T181" s="190">
        <f t="shared" si="50"/>
        <v>0</v>
      </c>
      <c r="U181" s="188">
        <f>O181*IFERROR(VLOOKUP(A181,[1]Tørstofindhold!A$2:B$24,2,FALSE),0)</f>
        <v>0</v>
      </c>
      <c r="V181" s="189">
        <f>IF(D181=År1,P181,SUM(O181,P181))*IFERROR(VLOOKUP(A181,[1]Tørstofindhold!A$2:B$24,2,FALSE),0)</f>
        <v>0</v>
      </c>
      <c r="W181" s="189">
        <f>J181*IFERROR(VLOOKUP(A181,[1]Tørstofindhold!A$2:B$24,2,FALSE),0)</f>
        <v>0</v>
      </c>
      <c r="X181" s="190">
        <f t="shared" si="51"/>
        <v>0</v>
      </c>
      <c r="Y181" s="170">
        <f t="shared" si="43"/>
        <v>0</v>
      </c>
      <c r="Z181" s="103">
        <f t="shared" si="44"/>
        <v>1</v>
      </c>
    </row>
    <row r="182" spans="1:26" hidden="1" x14ac:dyDescent="0.25">
      <c r="A182" s="189" t="s">
        <v>50</v>
      </c>
      <c r="B182" s="191"/>
      <c r="C182" s="191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1">
        <f t="shared" si="47"/>
        <v>2019</v>
      </c>
      <c r="E182" s="189" t="s">
        <v>24</v>
      </c>
      <c r="F182" s="192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2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9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2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2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2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2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6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1">
        <f t="shared" si="48"/>
        <v>0</v>
      </c>
      <c r="O182" s="192">
        <f t="shared" si="39"/>
        <v>0</v>
      </c>
      <c r="P182" s="202">
        <f t="shared" si="49"/>
        <v>0</v>
      </c>
      <c r="Q182" s="189">
        <f>IFERROR(VLOOKUP(A182,[1]Energiindhold!$A$2:$C$11,3,FALSE),IFERROR(VLOOKUP(A182,[1]Biogasudbytte!$A$2:$B$18,2,FALSE)*[1]Energiindhold!$C$10,0))*O182</f>
        <v>0</v>
      </c>
      <c r="R182" s="189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9">
        <f>IFERROR(VLOOKUP(A182,[1]Biogasudbytte!$A$2:$B$18,2,FALSE)*[1]Energiindhold!$C$10,0)*J182*IFERROR(VLOOKUP(A182,Biogasanlæg!$F$3:$G$8,2,FALSE),1)</f>
        <v>0</v>
      </c>
      <c r="T182" s="190">
        <f t="shared" si="50"/>
        <v>0</v>
      </c>
      <c r="U182" s="188">
        <f>O182*IFERROR(VLOOKUP(A182,[1]Tørstofindhold!A$2:B$24,2,FALSE),0)</f>
        <v>0</v>
      </c>
      <c r="V182" s="189">
        <f>IF(D182=År1,P182,SUM(O182,P182))*IFERROR(VLOOKUP(A182,[1]Tørstofindhold!A$2:B$24,2,FALSE),0)</f>
        <v>0</v>
      </c>
      <c r="W182" s="189">
        <f>J182*IFERROR(VLOOKUP(A182,[1]Tørstofindhold!A$2:B$24,2,FALSE),0)</f>
        <v>0</v>
      </c>
      <c r="X182" s="190">
        <f t="shared" si="51"/>
        <v>0</v>
      </c>
      <c r="Y182" s="170">
        <f t="shared" si="43"/>
        <v>0</v>
      </c>
      <c r="Z182" s="103">
        <f t="shared" si="44"/>
        <v>0</v>
      </c>
    </row>
    <row r="183" spans="1:26" hidden="1" x14ac:dyDescent="0.25">
      <c r="A183" s="189" t="s">
        <v>239</v>
      </c>
      <c r="B183" s="191"/>
      <c r="C183" s="191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1">
        <f t="shared" si="47"/>
        <v>2019</v>
      </c>
      <c r="E183" s="189" t="s">
        <v>24</v>
      </c>
      <c r="F183" s="192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2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9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2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2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2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2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6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1">
        <f t="shared" si="48"/>
        <v>70508.296689855866</v>
      </c>
      <c r="O183" s="192">
        <f t="shared" si="39"/>
        <v>0</v>
      </c>
      <c r="P183" s="202">
        <f t="shared" si="49"/>
        <v>0</v>
      </c>
      <c r="Q183" s="189">
        <f>IFERROR(VLOOKUP(A183,[1]Energiindhold!$A$2:$C$11,3,FALSE),IFERROR(VLOOKUP(A183,[1]Biogasudbytte!$A$2:$B$18,2,FALSE)*[1]Energiindhold!$C$10,0))*O183</f>
        <v>0</v>
      </c>
      <c r="R183" s="189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9">
        <f>IFERROR(VLOOKUP(A183,[1]Biogasudbytte!$A$2:$B$18,2,FALSE)*[1]Energiindhold!$C$10,0)*J183*IFERROR(VLOOKUP(A183,Biogasanlæg!$F$3:$G$8,2,FALSE),1)</f>
        <v>0</v>
      </c>
      <c r="T183" s="190">
        <f t="shared" si="50"/>
        <v>0</v>
      </c>
      <c r="U183" s="188">
        <f>O183*IFERROR(VLOOKUP(A183,[1]Tørstofindhold!A$2:B$24,2,FALSE),0)</f>
        <v>0</v>
      </c>
      <c r="V183" s="189">
        <f>IF(D183=År1,P183,SUM(O183,P183))*IFERROR(VLOOKUP(A183,[1]Tørstofindhold!A$2:B$24,2,FALSE),0)</f>
        <v>0</v>
      </c>
      <c r="W183" s="189">
        <f>J183*IFERROR(VLOOKUP(A183,[1]Tørstofindhold!A$2:B$24,2,FALSE),0)</f>
        <v>0</v>
      </c>
      <c r="X183" s="190">
        <f t="shared" si="51"/>
        <v>0</v>
      </c>
      <c r="Y183" s="170">
        <f t="shared" si="43"/>
        <v>0</v>
      </c>
      <c r="Z183" s="103">
        <f t="shared" si="44"/>
        <v>1</v>
      </c>
    </row>
    <row r="184" spans="1:26" hidden="1" x14ac:dyDescent="0.25">
      <c r="A184" s="189" t="s">
        <v>232</v>
      </c>
      <c r="B184" s="191" t="s">
        <v>232</v>
      </c>
      <c r="C184" s="191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1">
        <f t="shared" si="47"/>
        <v>2019</v>
      </c>
      <c r="E184" s="189" t="s">
        <v>24</v>
      </c>
      <c r="F184" s="192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2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9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2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2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2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2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6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1">
        <f t="shared" si="48"/>
        <v>0</v>
      </c>
      <c r="O184" s="192">
        <f t="shared" si="39"/>
        <v>0</v>
      </c>
      <c r="P184" s="202">
        <f t="shared" si="49"/>
        <v>32210.735628649098</v>
      </c>
      <c r="Q184" s="189">
        <f>IFERROR(VLOOKUP(A184,[1]Energiindhold!$A$2:$C$11,3,FALSE),IFERROR(VLOOKUP(A184,[1]Biogasudbytte!$A$2:$B$18,2,FALSE)*[1]Energiindhold!$C$10,0))*O184</f>
        <v>0</v>
      </c>
      <c r="R184" s="189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9">
        <f>IFERROR(VLOOKUP(A184,[1]Biogasudbytte!$A$2:$B$18,2,FALSE)*[1]Energiindhold!$C$10,0)*J184*IFERROR(VLOOKUP(A184,Biogasanlæg!$F$3:$G$8,2,FALSE),1)</f>
        <v>0</v>
      </c>
      <c r="T184" s="190">
        <f t="shared" si="50"/>
        <v>1.1273757470027184</v>
      </c>
      <c r="U184" s="188">
        <f>O184*IFERROR(VLOOKUP(A184,[1]Tørstofindhold!A$2:B$24,2,FALSE),0)</f>
        <v>0</v>
      </c>
      <c r="V184" s="189">
        <f>IF(D184=År1,P184,SUM(O184,P184))*IFERROR(VLOOKUP(A184,[1]Tørstofindhold!A$2:B$24,2,FALSE),0)</f>
        <v>0</v>
      </c>
      <c r="W184" s="189">
        <f>J184*IFERROR(VLOOKUP(A184,[1]Tørstofindhold!A$2:B$24,2,FALSE),0)</f>
        <v>0</v>
      </c>
      <c r="X184" s="190">
        <f t="shared" si="51"/>
        <v>0</v>
      </c>
      <c r="Y184" s="170">
        <f t="shared" si="43"/>
        <v>0</v>
      </c>
      <c r="Z184" s="103">
        <f t="shared" si="44"/>
        <v>0</v>
      </c>
    </row>
    <row r="185" spans="1:26" hidden="1" x14ac:dyDescent="0.25">
      <c r="A185" s="189" t="s">
        <v>52</v>
      </c>
      <c r="B185" s="191" t="s">
        <v>225</v>
      </c>
      <c r="C185" s="191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1">
        <f t="shared" si="47"/>
        <v>2019</v>
      </c>
      <c r="E185" s="189" t="s">
        <v>24</v>
      </c>
      <c r="F185" s="192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2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9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2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2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2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2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6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1">
        <f t="shared" si="48"/>
        <v>2125183.9129647682</v>
      </c>
      <c r="O185" s="192">
        <f t="shared" si="39"/>
        <v>1656364.6415009145</v>
      </c>
      <c r="P185" s="202">
        <f t="shared" si="49"/>
        <v>24543.951075802775</v>
      </c>
      <c r="Q185" s="189">
        <f>IFERROR(VLOOKUP(A185,[1]Energiindhold!$A$2:$C$11,3,FALSE),IFERROR(VLOOKUP(A185,[1]Biogasudbytte!$A$2:$B$18,2,FALSE)*[1]Energiindhold!$C$10,0))*O185</f>
        <v>4.4954398916191423</v>
      </c>
      <c r="R185" s="189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9">
        <f>IFERROR(VLOOKUP(A185,[1]Biogasudbytte!$A$2:$B$18,2,FALSE)*[1]Energiindhold!$C$10,0)*J185*IFERROR(VLOOKUP(A185,Biogasanlæg!$F$3:$G$8,2,FALSE),1)</f>
        <v>6.6613264977771772E-2</v>
      </c>
      <c r="T185" s="190">
        <f t="shared" si="50"/>
        <v>0</v>
      </c>
      <c r="U185" s="188">
        <f>O185*IFERROR(VLOOKUP(A185,[1]Tørstofindhold!A$2:B$24,2,FALSE),0)</f>
        <v>331272.92830018292</v>
      </c>
      <c r="V185" s="189">
        <f>IF(D185=År1,P185,SUM(O185,P185))*IFERROR(VLOOKUP(A185,[1]Tørstofindhold!A$2:B$24,2,FALSE),0)</f>
        <v>4908.7902151605549</v>
      </c>
      <c r="W185" s="189">
        <f>J185*IFERROR(VLOOKUP(A185,[1]Tørstofindhold!A$2:B$24,2,FALSE),0)</f>
        <v>4908.7902151605549</v>
      </c>
      <c r="X185" s="190">
        <f t="shared" si="51"/>
        <v>0</v>
      </c>
      <c r="Y185" s="170">
        <f t="shared" si="43"/>
        <v>0</v>
      </c>
      <c r="Z185" s="103">
        <f t="shared" si="44"/>
        <v>1</v>
      </c>
    </row>
    <row r="186" spans="1:26" hidden="1" x14ac:dyDescent="0.25">
      <c r="A186" s="189" t="s">
        <v>122</v>
      </c>
      <c r="B186" s="191"/>
      <c r="C186" s="191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1">
        <f t="shared" si="47"/>
        <v>2019</v>
      </c>
      <c r="E186" s="189" t="s">
        <v>24</v>
      </c>
      <c r="F186" s="192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2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9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2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2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2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2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6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1">
        <f t="shared" si="48"/>
        <v>23179.475218292017</v>
      </c>
      <c r="O186" s="192">
        <f t="shared" si="39"/>
        <v>0</v>
      </c>
      <c r="P186" s="202">
        <f t="shared" si="49"/>
        <v>0</v>
      </c>
      <c r="Q186" s="189">
        <f>IFERROR(VLOOKUP(A186,[1]Energiindhold!$A$2:$C$11,3,FALSE),IFERROR(VLOOKUP(A186,[1]Biogasudbytte!$A$2:$B$18,2,FALSE)*[1]Energiindhold!$C$10,0))*O186</f>
        <v>0</v>
      </c>
      <c r="R186" s="189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9">
        <f>IFERROR(VLOOKUP(A186,[1]Biogasudbytte!$A$2:$B$18,2,FALSE)*[1]Energiindhold!$C$10,0)*J186*IFERROR(VLOOKUP(A186,Biogasanlæg!$F$3:$G$8,2,FALSE),1)</f>
        <v>0</v>
      </c>
      <c r="T186" s="190">
        <f t="shared" si="50"/>
        <v>0</v>
      </c>
      <c r="U186" s="188">
        <f>O186*IFERROR(VLOOKUP(A186,[1]Tørstofindhold!A$2:B$24,2,FALSE),0)</f>
        <v>0</v>
      </c>
      <c r="V186" s="189">
        <f>IF(D186=År1,P186,SUM(O186,P186))*IFERROR(VLOOKUP(A186,[1]Tørstofindhold!A$2:B$24,2,FALSE),0)</f>
        <v>0</v>
      </c>
      <c r="W186" s="189">
        <f>J186*IFERROR(VLOOKUP(A186,[1]Tørstofindhold!A$2:B$24,2,FALSE),0)</f>
        <v>0</v>
      </c>
      <c r="X186" s="190">
        <f t="shared" si="51"/>
        <v>0</v>
      </c>
      <c r="Y186" s="170">
        <f t="shared" si="43"/>
        <v>0</v>
      </c>
      <c r="Z186" s="103">
        <f t="shared" si="44"/>
        <v>1</v>
      </c>
    </row>
    <row r="187" spans="1:26" hidden="1" x14ac:dyDescent="0.25">
      <c r="A187" s="189" t="s">
        <v>108</v>
      </c>
      <c r="B187" s="191"/>
      <c r="C187" s="191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1">
        <f t="shared" si="47"/>
        <v>2019</v>
      </c>
      <c r="E187" s="189" t="s">
        <v>24</v>
      </c>
      <c r="F187" s="192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2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9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2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2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2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2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6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1">
        <f t="shared" si="48"/>
        <v>14085.970705770382</v>
      </c>
      <c r="O187" s="192">
        <f t="shared" si="39"/>
        <v>0</v>
      </c>
      <c r="P187" s="202">
        <f t="shared" si="49"/>
        <v>0</v>
      </c>
      <c r="Q187" s="189">
        <f>IFERROR(VLOOKUP(A187,[1]Energiindhold!$A$2:$C$11,3,FALSE),IFERROR(VLOOKUP(A187,[1]Biogasudbytte!$A$2:$B$18,2,FALSE)*[1]Energiindhold!$C$10,0))*O187</f>
        <v>0</v>
      </c>
      <c r="R187" s="189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9">
        <f>IFERROR(VLOOKUP(A187,[1]Biogasudbytte!$A$2:$B$18,2,FALSE)*[1]Energiindhold!$C$10,0)*J187*IFERROR(VLOOKUP(A187,Biogasanlæg!$F$3:$G$8,2,FALSE),1)</f>
        <v>0</v>
      </c>
      <c r="T187" s="190">
        <f t="shared" si="50"/>
        <v>0</v>
      </c>
      <c r="U187" s="188">
        <f>O187*IFERROR(VLOOKUP(A187,[1]Tørstofindhold!A$2:B$24,2,FALSE),0)</f>
        <v>0</v>
      </c>
      <c r="V187" s="189">
        <f>IF(D187=År1,P187,SUM(O187,P187))*IFERROR(VLOOKUP(A187,[1]Tørstofindhold!A$2:B$24,2,FALSE),0)</f>
        <v>0</v>
      </c>
      <c r="W187" s="189">
        <f>J187*IFERROR(VLOOKUP(A187,[1]Tørstofindhold!A$2:B$24,2,FALSE),0)</f>
        <v>0</v>
      </c>
      <c r="X187" s="190">
        <f t="shared" si="51"/>
        <v>0</v>
      </c>
      <c r="Y187" s="170">
        <f t="shared" si="43"/>
        <v>0</v>
      </c>
      <c r="Z187" s="103">
        <f t="shared" si="44"/>
        <v>1</v>
      </c>
    </row>
    <row r="188" spans="1:26" hidden="1" x14ac:dyDescent="0.25">
      <c r="A188" s="191" t="s">
        <v>141</v>
      </c>
      <c r="B188" s="191" t="s">
        <v>231</v>
      </c>
      <c r="C188" s="191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1">
        <f t="shared" si="47"/>
        <v>2019</v>
      </c>
      <c r="E188" s="189" t="s">
        <v>24</v>
      </c>
      <c r="F188" s="192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2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9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2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2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2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2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6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1">
        <f t="shared" si="48"/>
        <v>1978309.9489030582</v>
      </c>
      <c r="O188" s="192">
        <f t="shared" si="39"/>
        <v>1978309.9489030582</v>
      </c>
      <c r="P188" s="202">
        <f t="shared" si="49"/>
        <v>1208651.4125341829</v>
      </c>
      <c r="Q188" s="189">
        <f>IFERROR(VLOOKUP(A188,[1]Energiindhold!$A$2:$C$11,3,FALSE),IFERROR(VLOOKUP(A188,[1]Biogasudbytte!$A$2:$B$18,2,FALSE)*[1]Energiindhold!$C$10,0))*O188</f>
        <v>0.98719644760211522</v>
      </c>
      <c r="R188" s="189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9">
        <f>IFERROR(VLOOKUP(A188,[1]Biogasudbytte!$A$2:$B$18,2,FALSE)*[1]Energiindhold!$C$10,0)*J188*IFERROR(VLOOKUP(A188,Biogasanlæg!$F$3:$G$8,2,FALSE),1)</f>
        <v>0.60312914136868268</v>
      </c>
      <c r="T188" s="190">
        <f t="shared" si="50"/>
        <v>0</v>
      </c>
      <c r="U188" s="188">
        <f>O188*IFERROR(VLOOKUP(A188,[1]Tørstofindhold!A$2:B$24,2,FALSE),0)</f>
        <v>118698.59693418349</v>
      </c>
      <c r="V188" s="189">
        <f>IF(D188=År1,P188,SUM(O188,P188))*IFERROR(VLOOKUP(A188,[1]Tørstofindhold!A$2:B$24,2,FALSE),0)</f>
        <v>72519.084752050971</v>
      </c>
      <c r="W188" s="189">
        <f>J188*IFERROR(VLOOKUP(A188,[1]Tørstofindhold!A$2:B$24,2,FALSE),0)</f>
        <v>72519.084752050971</v>
      </c>
      <c r="X188" s="190">
        <f t="shared" si="51"/>
        <v>0</v>
      </c>
      <c r="Y188" s="170">
        <f t="shared" si="43"/>
        <v>0</v>
      </c>
      <c r="Z188" s="103">
        <f t="shared" si="44"/>
        <v>1</v>
      </c>
    </row>
    <row r="189" spans="1:26" hidden="1" x14ac:dyDescent="0.25">
      <c r="A189" s="191" t="s">
        <v>136</v>
      </c>
      <c r="B189" s="191" t="s">
        <v>223</v>
      </c>
      <c r="C189" s="191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1">
        <f t="shared" si="47"/>
        <v>2019</v>
      </c>
      <c r="E189" s="189" t="s">
        <v>24</v>
      </c>
      <c r="F189" s="192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2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9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2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2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2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2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6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1">
        <f t="shared" si="48"/>
        <v>0</v>
      </c>
      <c r="O189" s="192">
        <f t="shared" si="39"/>
        <v>0</v>
      </c>
      <c r="P189" s="202">
        <f t="shared" si="49"/>
        <v>380427.26035611134</v>
      </c>
      <c r="Q189" s="189">
        <f>IFERROR(VLOOKUP(A189,[1]Energiindhold!$A$2:$C$11,3,FALSE),IFERROR(VLOOKUP(A189,[1]Biogasudbytte!$A$2:$B$18,2,FALSE)*[1]Energiindhold!$C$10,0))*O189</f>
        <v>0</v>
      </c>
      <c r="R189" s="189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9">
        <f>IFERROR(VLOOKUP(A189,[1]Biogasudbytte!$A$2:$B$18,2,FALSE)*[1]Energiindhold!$C$10,0)*J189*IFERROR(VLOOKUP(A189,Biogasanlæg!$F$3:$G$8,2,FALSE),1)</f>
        <v>0.16388806376141279</v>
      </c>
      <c r="T189" s="190">
        <f t="shared" si="50"/>
        <v>0</v>
      </c>
      <c r="U189" s="188">
        <f>O189*IFERROR(VLOOKUP(A189,[1]Tørstofindhold!A$2:B$24,2,FALSE),0)</f>
        <v>0</v>
      </c>
      <c r="V189" s="189">
        <f>IF(D189=År1,P189,SUM(O189,P189))*IFERROR(VLOOKUP(A189,[1]Tørstofindhold!A$2:B$24,2,FALSE),0)</f>
        <v>19021.363017805568</v>
      </c>
      <c r="W189" s="189">
        <f>J189*IFERROR(VLOOKUP(A189,[1]Tørstofindhold!A$2:B$24,2,FALSE),0)</f>
        <v>19021.363017805568</v>
      </c>
      <c r="X189" s="190">
        <f t="shared" si="51"/>
        <v>0</v>
      </c>
      <c r="Y189" s="170">
        <f t="shared" si="43"/>
        <v>0</v>
      </c>
      <c r="Z189" s="103">
        <f t="shared" si="44"/>
        <v>0</v>
      </c>
    </row>
    <row r="190" spans="1:26" hidden="1" x14ac:dyDescent="0.25">
      <c r="A190" s="191" t="s">
        <v>13</v>
      </c>
      <c r="B190" s="191"/>
      <c r="C190" s="191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1">
        <f t="shared" si="47"/>
        <v>2019</v>
      </c>
      <c r="E190" s="189" t="s">
        <v>24</v>
      </c>
      <c r="F190" s="192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2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9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2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2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2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2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6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1">
        <f t="shared" si="48"/>
        <v>106195.08352871139</v>
      </c>
      <c r="O190" s="192">
        <f t="shared" si="39"/>
        <v>0</v>
      </c>
      <c r="P190" s="202">
        <f t="shared" si="49"/>
        <v>0</v>
      </c>
      <c r="Q190" s="189">
        <f>IFERROR(VLOOKUP(A190,[1]Energiindhold!$A$2:$C$11,3,FALSE),IFERROR(VLOOKUP(A190,[1]Biogasudbytte!$A$2:$B$18,2,FALSE)*[1]Energiindhold!$C$10,0))*O190</f>
        <v>0</v>
      </c>
      <c r="R190" s="189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9">
        <f>IFERROR(VLOOKUP(A190,[1]Biogasudbytte!$A$2:$B$18,2,FALSE)*[1]Energiindhold!$C$10,0)*J190*IFERROR(VLOOKUP(A190,Biogasanlæg!$F$3:$G$8,2,FALSE),1)</f>
        <v>0</v>
      </c>
      <c r="T190" s="190">
        <f t="shared" si="50"/>
        <v>0</v>
      </c>
      <c r="U190" s="188">
        <f>O190*IFERROR(VLOOKUP(A190,[1]Tørstofindhold!A$2:B$24,2,FALSE),0)</f>
        <v>0</v>
      </c>
      <c r="V190" s="189">
        <f>IF(D190=År1,P190,SUM(O190,P190))*IFERROR(VLOOKUP(A190,[1]Tørstofindhold!A$2:B$24,2,FALSE),0)</f>
        <v>0</v>
      </c>
      <c r="W190" s="189">
        <f>J190*IFERROR(VLOOKUP(A190,[1]Tørstofindhold!A$2:B$24,2,FALSE),0)</f>
        <v>0</v>
      </c>
      <c r="X190" s="190">
        <f t="shared" si="51"/>
        <v>0</v>
      </c>
      <c r="Y190" s="170">
        <f t="shared" si="43"/>
        <v>0</v>
      </c>
      <c r="Z190" s="103">
        <f t="shared" si="44"/>
        <v>1</v>
      </c>
    </row>
    <row r="191" spans="1:26" hidden="1" x14ac:dyDescent="0.25">
      <c r="A191" s="191" t="s">
        <v>100</v>
      </c>
      <c r="B191" s="191" t="s">
        <v>227</v>
      </c>
      <c r="C191" s="191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1">
        <f t="shared" si="47"/>
        <v>2019</v>
      </c>
      <c r="E191" s="189" t="s">
        <v>24</v>
      </c>
      <c r="F191" s="192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2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9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2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2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2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2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6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1">
        <f t="shared" si="48"/>
        <v>0</v>
      </c>
      <c r="O191" s="192">
        <f t="shared" si="39"/>
        <v>0</v>
      </c>
      <c r="P191" s="202">
        <f t="shared" si="49"/>
        <v>0</v>
      </c>
      <c r="Q191" s="189">
        <f>IFERROR(VLOOKUP(A191,[1]Energiindhold!$A$2:$C$11,3,FALSE),IFERROR(VLOOKUP(A191,[1]Biogasudbytte!$A$2:$B$18,2,FALSE)*[1]Energiindhold!$C$10,0))*O191</f>
        <v>0</v>
      </c>
      <c r="R191" s="189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9">
        <f>IFERROR(VLOOKUP(A191,[1]Biogasudbytte!$A$2:$B$18,2,FALSE)*[1]Energiindhold!$C$10,0)*J191*IFERROR(VLOOKUP(A191,Biogasanlæg!$F$3:$G$8,2,FALSE),1)</f>
        <v>0</v>
      </c>
      <c r="T191" s="190">
        <f t="shared" si="50"/>
        <v>0</v>
      </c>
      <c r="U191" s="188">
        <f>O191*IFERROR(VLOOKUP(A191,[1]Tørstofindhold!A$2:B$24,2,FALSE),0)</f>
        <v>0</v>
      </c>
      <c r="V191" s="189">
        <f>IF(D191=År1,P191,SUM(O191,P191))*IFERROR(VLOOKUP(A191,[1]Tørstofindhold!A$2:B$24,2,FALSE),0)</f>
        <v>0</v>
      </c>
      <c r="W191" s="189">
        <f>J191*IFERROR(VLOOKUP(A191,[1]Tørstofindhold!A$2:B$24,2,FALSE),0)</f>
        <v>0</v>
      </c>
      <c r="X191" s="190">
        <f t="shared" si="51"/>
        <v>0</v>
      </c>
      <c r="Y191" s="170">
        <f t="shared" si="43"/>
        <v>0</v>
      </c>
      <c r="Z191" s="103">
        <f t="shared" si="44"/>
        <v>1</v>
      </c>
    </row>
    <row r="192" spans="1:26" hidden="1" x14ac:dyDescent="0.25">
      <c r="A192" s="191" t="s">
        <v>105</v>
      </c>
      <c r="B192" s="191"/>
      <c r="C192" s="191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1">
        <f t="shared" si="47"/>
        <v>2019</v>
      </c>
      <c r="E192" s="189" t="s">
        <v>24</v>
      </c>
      <c r="F192" s="192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2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9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2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2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2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2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6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1">
        <f t="shared" si="48"/>
        <v>0</v>
      </c>
      <c r="O192" s="192">
        <f t="shared" si="39"/>
        <v>0</v>
      </c>
      <c r="P192" s="202">
        <f t="shared" si="49"/>
        <v>0</v>
      </c>
      <c r="Q192" s="189">
        <f>IFERROR(VLOOKUP(A192,[1]Energiindhold!$A$2:$C$11,3,FALSE),IFERROR(VLOOKUP(A192,[1]Biogasudbytte!$A$2:$B$18,2,FALSE)*[1]Energiindhold!$C$10,0))*O192</f>
        <v>0</v>
      </c>
      <c r="R192" s="189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9">
        <f>IFERROR(VLOOKUP(A192,[1]Biogasudbytte!$A$2:$B$18,2,FALSE)*[1]Energiindhold!$C$10,0)*J192*IFERROR(VLOOKUP(A192,Biogasanlæg!$F$3:$G$8,2,FALSE),1)</f>
        <v>0</v>
      </c>
      <c r="T192" s="190">
        <f t="shared" si="50"/>
        <v>0</v>
      </c>
      <c r="U192" s="188">
        <f>O192*IFERROR(VLOOKUP(A192,[1]Tørstofindhold!A$2:B$24,2,FALSE),0)</f>
        <v>0</v>
      </c>
      <c r="V192" s="189">
        <f>IF(D192=År1,P192,SUM(O192,P192))*IFERROR(VLOOKUP(A192,[1]Tørstofindhold!A$2:B$24,2,FALSE),0)</f>
        <v>0</v>
      </c>
      <c r="W192" s="189">
        <f>J192*IFERROR(VLOOKUP(A192,[1]Tørstofindhold!A$2:B$24,2,FALSE),0)</f>
        <v>0</v>
      </c>
      <c r="X192" s="190">
        <f t="shared" si="51"/>
        <v>0</v>
      </c>
      <c r="Y192" s="170">
        <f t="shared" si="43"/>
        <v>0</v>
      </c>
      <c r="Z192" s="103">
        <f t="shared" si="44"/>
        <v>0</v>
      </c>
    </row>
    <row r="193" spans="1:26" hidden="1" x14ac:dyDescent="0.25">
      <c r="A193" s="191" t="s">
        <v>120</v>
      </c>
      <c r="B193" s="191" t="s">
        <v>226</v>
      </c>
      <c r="C193" s="191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1">
        <f t="shared" si="47"/>
        <v>2019</v>
      </c>
      <c r="E193" s="189" t="s">
        <v>24</v>
      </c>
      <c r="F193" s="192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2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9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2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2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2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2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6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1">
        <f t="shared" si="48"/>
        <v>0</v>
      </c>
      <c r="O193" s="192">
        <f t="shared" si="39"/>
        <v>0</v>
      </c>
      <c r="P193" s="202">
        <f t="shared" si="49"/>
        <v>681602.85349434032</v>
      </c>
      <c r="Q193" s="189">
        <f>IFERROR(VLOOKUP(A193,[1]Energiindhold!$A$2:$C$11,3,FALSE),IFERROR(VLOOKUP(A193,[1]Biogasudbytte!$A$2:$B$18,2,FALSE)*[1]Energiindhold!$C$10,0))*O193</f>
        <v>0</v>
      </c>
      <c r="R193" s="189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9">
        <f>IFERROR(VLOOKUP(A193,[1]Biogasudbytte!$A$2:$B$18,2,FALSE)*[1]Energiindhold!$C$10,0)*J193*IFERROR(VLOOKUP(A193,Biogasanlæg!$F$3:$G$8,2,FALSE),1)</f>
        <v>0</v>
      </c>
      <c r="T193" s="190">
        <f t="shared" si="50"/>
        <v>9.878857920085288</v>
      </c>
      <c r="U193" s="188">
        <f>O193*IFERROR(VLOOKUP(A193,[1]Tørstofindhold!A$2:B$24,2,FALSE),0)</f>
        <v>0</v>
      </c>
      <c r="V193" s="189">
        <f>IF(D193=År1,P193,SUM(O193,P193))*IFERROR(VLOOKUP(A193,[1]Tørstofindhold!A$2:B$24,2,FALSE),0)</f>
        <v>337109.41129074246</v>
      </c>
      <c r="W193" s="189">
        <f>J193*IFERROR(VLOOKUP(A193,[1]Tørstofindhold!A$2:B$24,2,FALSE),0)</f>
        <v>0</v>
      </c>
      <c r="X193" s="190">
        <f t="shared" si="51"/>
        <v>337109.41129074246</v>
      </c>
      <c r="Y193" s="170">
        <f t="shared" si="43"/>
        <v>0</v>
      </c>
      <c r="Z193" s="103">
        <f t="shared" si="44"/>
        <v>0</v>
      </c>
    </row>
    <row r="194" spans="1:26" hidden="1" x14ac:dyDescent="0.25">
      <c r="A194" s="191" t="s">
        <v>119</v>
      </c>
      <c r="B194" s="191"/>
      <c r="C194" s="191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1">
        <f t="shared" si="47"/>
        <v>2019</v>
      </c>
      <c r="E194" s="189" t="s">
        <v>24</v>
      </c>
      <c r="F194" s="192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2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9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2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2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2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2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6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1">
        <f t="shared" si="48"/>
        <v>0</v>
      </c>
      <c r="O194" s="192">
        <f t="shared" si="39"/>
        <v>0</v>
      </c>
      <c r="P194" s="202">
        <f t="shared" si="49"/>
        <v>0</v>
      </c>
      <c r="Q194" s="189">
        <f>IFERROR(VLOOKUP(A194,[1]Energiindhold!$A$2:$C$11,3,FALSE),IFERROR(VLOOKUP(A194,[1]Biogasudbytte!$A$2:$B$18,2,FALSE)*[1]Energiindhold!$C$10,0))*O194</f>
        <v>0</v>
      </c>
      <c r="R194" s="189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9">
        <f>IFERROR(VLOOKUP(A194,[1]Biogasudbytte!$A$2:$B$18,2,FALSE)*[1]Energiindhold!$C$10,0)*J194*IFERROR(VLOOKUP(A194,Biogasanlæg!$F$3:$G$8,2,FALSE),1)</f>
        <v>0</v>
      </c>
      <c r="T194" s="190">
        <f t="shared" si="50"/>
        <v>0</v>
      </c>
      <c r="U194" s="188">
        <f>O194*IFERROR(VLOOKUP(A194,[1]Tørstofindhold!A$2:B$24,2,FALSE),0)</f>
        <v>0</v>
      </c>
      <c r="V194" s="189">
        <f>IF(D194=År1,P194,SUM(O194,P194))*IFERROR(VLOOKUP(A194,[1]Tørstofindhold!A$2:B$24,2,FALSE),0)</f>
        <v>0</v>
      </c>
      <c r="W194" s="189">
        <f>J194*IFERROR(VLOOKUP(A194,[1]Tørstofindhold!A$2:B$24,2,FALSE),0)</f>
        <v>0</v>
      </c>
      <c r="X194" s="190">
        <f t="shared" si="51"/>
        <v>0</v>
      </c>
      <c r="Y194" s="170">
        <f t="shared" si="43"/>
        <v>0</v>
      </c>
      <c r="Z194" s="103">
        <f t="shared" si="44"/>
        <v>0</v>
      </c>
    </row>
    <row r="195" spans="1:26" hidden="1" x14ac:dyDescent="0.25">
      <c r="A195" s="191" t="str">
        <f t="shared" ref="A195:A226" si="56">A147</f>
        <v>Æg</v>
      </c>
      <c r="B195" s="191" t="str">
        <f t="shared" ref="B195:B226" si="57">IF(B147&lt;&gt;"",B147,"")</f>
        <v/>
      </c>
      <c r="C195" s="191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1">
        <f t="shared" ref="D195:D242" si="58">År2</f>
        <v>2030</v>
      </c>
      <c r="E195" s="189" t="s">
        <v>24</v>
      </c>
      <c r="F195" s="192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16351.5182499863</v>
      </c>
      <c r="G195" s="192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9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2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2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2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2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6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1">
        <f t="shared" si="48"/>
        <v>-11857.821874642239</v>
      </c>
      <c r="O195" s="192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2">
        <f t="shared" si="49"/>
        <v>0</v>
      </c>
      <c r="Q195" s="189">
        <f>IFERROR(VLOOKUP(A195,[1]Energiindhold!$A$2:$C$11,3,FALSE),IFERROR(VLOOKUP(A195,[1]Biogasudbytte!$A$2:$B$18,2,FALSE)*[1]Energiindhold!$C$10,0))*O195</f>
        <v>0</v>
      </c>
      <c r="R195" s="189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9">
        <f>IFERROR(VLOOKUP(A195,[1]Biogasudbytte!$A$2:$B$18,2,FALSE)*[1]Energiindhold!$C$10,0)*J195*IFERROR(VLOOKUP(A195,Biogasanlæg!$F$3:$G$8,2,FALSE),1)</f>
        <v>0</v>
      </c>
      <c r="T195" s="190">
        <f t="shared" si="50"/>
        <v>0</v>
      </c>
      <c r="U195" s="188">
        <f>O195*IFERROR(VLOOKUP(A195,[1]Tørstofindhold!A$2:B$24,2,FALSE),0)</f>
        <v>0</v>
      </c>
      <c r="V195" s="189">
        <f>IF(D195=År1,P195,SUM(O195,P195))*IFERROR(VLOOKUP(A195,[1]Tørstofindhold!A$2:B$24,2,FALSE),0)</f>
        <v>0</v>
      </c>
      <c r="W195" s="189">
        <f>J195*IFERROR(VLOOKUP(A195,[1]Tørstofindhold!A$2:B$24,2,FALSE),0)</f>
        <v>0</v>
      </c>
      <c r="X195" s="190">
        <f t="shared" si="51"/>
        <v>0</v>
      </c>
      <c r="Y195" s="170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1" t="str">
        <f t="shared" si="56"/>
        <v>Bælgsæd</v>
      </c>
      <c r="B196" s="191" t="str">
        <f t="shared" si="57"/>
        <v/>
      </c>
      <c r="C196" s="191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1">
        <f t="shared" si="58"/>
        <v>2030</v>
      </c>
      <c r="E196" s="189" t="s">
        <v>24</v>
      </c>
      <c r="F196" s="192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219123.20850195418</v>
      </c>
      <c r="G196" s="192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0</v>
      </c>
      <c r="H196" s="189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2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2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2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2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6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1">
        <f t="shared" si="48"/>
        <v>181510.75500244947</v>
      </c>
      <c r="O196" s="192">
        <f t="shared" si="59"/>
        <v>0</v>
      </c>
      <c r="P196" s="202">
        <f t="shared" si="49"/>
        <v>0</v>
      </c>
      <c r="Q196" s="189">
        <f>IFERROR(VLOOKUP(A196,[1]Energiindhold!$A$2:$C$11,3,FALSE),IFERROR(VLOOKUP(A196,[1]Biogasudbytte!$A$2:$B$18,2,FALSE)*[1]Energiindhold!$C$10,0))*O196</f>
        <v>0</v>
      </c>
      <c r="R196" s="189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9">
        <f>IFERROR(VLOOKUP(A196,[1]Biogasudbytte!$A$2:$B$18,2,FALSE)*[1]Energiindhold!$C$10,0)*J196*IFERROR(VLOOKUP(A196,Biogasanlæg!$F$3:$G$8,2,FALSE),1)</f>
        <v>0</v>
      </c>
      <c r="T196" s="190">
        <f t="shared" si="50"/>
        <v>0</v>
      </c>
      <c r="U196" s="188">
        <f>O196*IFERROR(VLOOKUP(A196,[1]Tørstofindhold!A$2:B$24,2,FALSE),0)</f>
        <v>0</v>
      </c>
      <c r="V196" s="189">
        <f>IF(D196=År1,P196,SUM(O196,P196))*IFERROR(VLOOKUP(A196,[1]Tørstofindhold!A$2:B$24,2,FALSE),0)</f>
        <v>0</v>
      </c>
      <c r="W196" s="189">
        <f>J196*IFERROR(VLOOKUP(A196,[1]Tørstofindhold!A$2:B$24,2,FALSE),0)</f>
        <v>0</v>
      </c>
      <c r="X196" s="190">
        <f t="shared" si="51"/>
        <v>0</v>
      </c>
      <c r="Y196" s="170">
        <f t="shared" si="60"/>
        <v>0</v>
      </c>
      <c r="Z196" s="103">
        <f t="shared" si="61"/>
        <v>1</v>
      </c>
    </row>
    <row r="197" spans="1:26" hidden="1" x14ac:dyDescent="0.25">
      <c r="A197" s="191" t="str">
        <f t="shared" si="56"/>
        <v>Bioaffald</v>
      </c>
      <c r="B197" s="191" t="str">
        <f t="shared" si="57"/>
        <v>Bionedbrydeligt affald</v>
      </c>
      <c r="C197" s="191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1">
        <f t="shared" si="58"/>
        <v>2030</v>
      </c>
      <c r="E197" s="189" t="s">
        <v>24</v>
      </c>
      <c r="F197" s="192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178107.99808813466</v>
      </c>
      <c r="G197" s="192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9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2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2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2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2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9195.2392169247032</v>
      </c>
      <c r="M197" s="156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1">
        <f t="shared" ca="1" si="48"/>
        <v>0</v>
      </c>
      <c r="O197" s="192">
        <f t="shared" ca="1" si="59"/>
        <v>0</v>
      </c>
      <c r="P197" s="202">
        <f t="shared" ca="1" si="49"/>
        <v>178107.99808813466</v>
      </c>
      <c r="Q197" s="189">
        <f ca="1">IFERROR(VLOOKUP(A197,[1]Energiindhold!$A$2:$C$11,3,FALSE),IFERROR(VLOOKUP(A197,[1]Biogasudbytte!$A$2:$B$18,2,FALSE)*[1]Energiindhold!$C$10,0))*O197</f>
        <v>0</v>
      </c>
      <c r="R197" s="189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0.73962600556680191</v>
      </c>
      <c r="S197" s="189">
        <f ca="1">IFERROR(VLOOKUP(A197,[1]Biogasudbytte!$A$2:$B$18,2,FALSE)*[1]Energiindhold!$C$10,0)*J197*IFERROR(VLOOKUP(A197,Biogasanlæg!$F$3:$G$8,2,FALSE),1)</f>
        <v>0.57547056732591406</v>
      </c>
      <c r="T197" s="190">
        <f t="shared" ca="1" si="50"/>
        <v>0.16415543824088785</v>
      </c>
      <c r="U197" s="188">
        <f ca="1">O197*IFERROR(VLOOKUP(A197,[1]Tørstofindhold!A$2:B$24,2,FALSE),0)</f>
        <v>0</v>
      </c>
      <c r="V197" s="189">
        <f ca="1">IF(D197=År1,P197,SUM(O197,P197))*IFERROR(VLOOKUP(A197,[1]Tørstofindhold!A$2:B$24,2,FALSE),0)</f>
        <v>49870.23946467771</v>
      </c>
      <c r="W197" s="189">
        <f ca="1">J197*IFERROR(VLOOKUP(A197,[1]Tørstofindhold!A$2:B$24,2,FALSE),0)</f>
        <v>47295.572483938791</v>
      </c>
      <c r="X197" s="190">
        <f t="shared" ca="1" si="51"/>
        <v>2574.6669807389189</v>
      </c>
      <c r="Y197" s="170">
        <f t="shared" ca="1" si="60"/>
        <v>0</v>
      </c>
      <c r="Z197" s="103">
        <f t="shared" ca="1" si="61"/>
        <v>0</v>
      </c>
    </row>
    <row r="198" spans="1:26" hidden="1" x14ac:dyDescent="0.25">
      <c r="A198" s="191" t="str">
        <f t="shared" si="56"/>
        <v>Biogas</v>
      </c>
      <c r="B198" s="191" t="str">
        <f t="shared" si="57"/>
        <v/>
      </c>
      <c r="C198" s="191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1">
        <f t="shared" si="58"/>
        <v>2030</v>
      </c>
      <c r="E198" s="189" t="s">
        <v>24</v>
      </c>
      <c r="F198" s="192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125691068.3984434</v>
      </c>
      <c r="G198" s="192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9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2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2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2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2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125691068.3984434</v>
      </c>
      <c r="M198" s="156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1">
        <f t="shared" ca="1" si="48"/>
        <v>0</v>
      </c>
      <c r="O198" s="192">
        <f t="shared" ca="1" si="59"/>
        <v>0</v>
      </c>
      <c r="P198" s="202">
        <f t="shared" ca="1" si="49"/>
        <v>125691068.3984434</v>
      </c>
      <c r="Q198" s="189">
        <f ca="1">IFERROR(VLOOKUP(A198,[1]Energiindhold!$A$2:$C$11,3,FALSE),IFERROR(VLOOKUP(A198,[1]Biogasudbytte!$A$2:$B$18,2,FALSE)*[1]Energiindhold!$C$10,0))*O198</f>
        <v>0</v>
      </c>
      <c r="R198" s="189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9">
        <f>IFERROR(VLOOKUP(A198,[1]Biogasudbytte!$A$2:$B$18,2,FALSE)*[1]Energiindhold!$C$10,0)*J198*IFERROR(VLOOKUP(A198,Biogasanlæg!$F$3:$G$8,2,FALSE),1)</f>
        <v>0</v>
      </c>
      <c r="T198" s="190">
        <f t="shared" si="50"/>
        <v>0</v>
      </c>
      <c r="U198" s="188">
        <f ca="1">O198*IFERROR(VLOOKUP(A198,[1]Tørstofindhold!A$2:B$24,2,FALSE),0)</f>
        <v>0</v>
      </c>
      <c r="V198" s="189">
        <f ca="1">IF(D198=År1,P198,SUM(O198,P198))*IFERROR(VLOOKUP(A198,[1]Tørstofindhold!A$2:B$24,2,FALSE),0)</f>
        <v>0</v>
      </c>
      <c r="W198" s="189">
        <f>J198*IFERROR(VLOOKUP(A198,[1]Tørstofindhold!A$2:B$24,2,FALSE),0)</f>
        <v>0</v>
      </c>
      <c r="X198" s="190">
        <f t="shared" ca="1" si="51"/>
        <v>0</v>
      </c>
      <c r="Y198" s="170">
        <f t="shared" ca="1" si="60"/>
        <v>0</v>
      </c>
      <c r="Z198" s="103">
        <f t="shared" ca="1" si="61"/>
        <v>0</v>
      </c>
    </row>
    <row r="199" spans="1:26" hidden="1" x14ac:dyDescent="0.25">
      <c r="A199" s="191" t="str">
        <f t="shared" si="56"/>
        <v>Biogasgylle</v>
      </c>
      <c r="B199" s="191" t="str">
        <f t="shared" si="57"/>
        <v/>
      </c>
      <c r="C199" s="191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1">
        <f t="shared" si="58"/>
        <v>2030</v>
      </c>
      <c r="E199" s="189" t="s">
        <v>24</v>
      </c>
      <c r="F199" s="192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4106034.5064830724</v>
      </c>
      <c r="G199" s="192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9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2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2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2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2988113.0405047191</v>
      </c>
      <c r="L199" s="192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6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1">
        <f t="shared" ca="1" si="48"/>
        <v>1117921.4659783533</v>
      </c>
      <c r="O199" s="192">
        <f t="shared" si="59"/>
        <v>0</v>
      </c>
      <c r="P199" s="202">
        <f t="shared" si="49"/>
        <v>0</v>
      </c>
      <c r="Q199" s="189">
        <f>IFERROR(VLOOKUP(A199,[1]Energiindhold!$A$2:$C$11,3,FALSE),IFERROR(VLOOKUP(A199,[1]Biogasudbytte!$A$2:$B$18,2,FALSE)*[1]Energiindhold!$C$10,0))*O199</f>
        <v>0</v>
      </c>
      <c r="R199" s="189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9">
        <f>IFERROR(VLOOKUP(A199,[1]Biogasudbytte!$A$2:$B$18,2,FALSE)*[1]Energiindhold!$C$10,0)*J199*IFERROR(VLOOKUP(A199,Biogasanlæg!$F$3:$G$8,2,FALSE),1)</f>
        <v>0</v>
      </c>
      <c r="T199" s="190">
        <f t="shared" si="50"/>
        <v>0</v>
      </c>
      <c r="U199" s="188">
        <f>O199*IFERROR(VLOOKUP(A199,[1]Tørstofindhold!A$2:B$24,2,FALSE),0)</f>
        <v>0</v>
      </c>
      <c r="V199" s="189">
        <f>IF(D199=År1,P199,SUM(O199,P199))*IFERROR(VLOOKUP(A199,[1]Tørstofindhold!A$2:B$24,2,FALSE),0)</f>
        <v>0</v>
      </c>
      <c r="W199" s="189">
        <f>J199*IFERROR(VLOOKUP(A199,[1]Tørstofindhold!A$2:B$24,2,FALSE),0)</f>
        <v>0</v>
      </c>
      <c r="X199" s="190">
        <f t="shared" si="51"/>
        <v>0</v>
      </c>
      <c r="Y199" s="170">
        <f t="shared" ca="1" si="60"/>
        <v>0</v>
      </c>
      <c r="Z199" s="103">
        <f t="shared" ca="1" si="61"/>
        <v>1</v>
      </c>
    </row>
    <row r="200" spans="1:26" hidden="1" x14ac:dyDescent="0.25">
      <c r="A200" s="191" t="str">
        <f t="shared" si="56"/>
        <v>Brun saft</v>
      </c>
      <c r="B200" s="191" t="str">
        <f t="shared" si="57"/>
        <v>Bionedbrydeligt affald</v>
      </c>
      <c r="C200" s="191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1">
        <f t="shared" si="58"/>
        <v>2030</v>
      </c>
      <c r="E200" s="189" t="s">
        <v>24</v>
      </c>
      <c r="F200" s="192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140741.33871353196</v>
      </c>
      <c r="G200" s="192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9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2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2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91481.870163795786</v>
      </c>
      <c r="K200" s="192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2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6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1">
        <f t="shared" si="48"/>
        <v>49259.468549736179</v>
      </c>
      <c r="O200" s="192">
        <f t="shared" si="59"/>
        <v>49259.468549736179</v>
      </c>
      <c r="P200" s="202">
        <f t="shared" si="49"/>
        <v>91481.870163795786</v>
      </c>
      <c r="Q200" s="189">
        <f>IFERROR(VLOOKUP(A200,[1]Energiindhold!$A$2:$C$11,3,FALSE),IFERROR(VLOOKUP(A200,[1]Biogasudbytte!$A$2:$B$18,2,FALSE)*[1]Energiindhold!$C$10,0))*O200</f>
        <v>2.7980662672415994E-2</v>
      </c>
      <c r="R200" s="189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7.9944750492617137E-2</v>
      </c>
      <c r="S200" s="189">
        <f>IFERROR(VLOOKUP(A200,[1]Biogasudbytte!$A$2:$B$18,2,FALSE)*[1]Energiindhold!$C$10,0)*J200*IFERROR(VLOOKUP(A200,Biogasanlæg!$F$3:$G$8,2,FALSE),1)</f>
        <v>5.1964087820201142E-2</v>
      </c>
      <c r="T200" s="190">
        <f t="shared" si="50"/>
        <v>2.7980662672415994E-2</v>
      </c>
      <c r="U200" s="188">
        <f>O200*IFERROR(VLOOKUP(A200,[1]Tørstofindhold!A$2:B$24,2,FALSE),0)</f>
        <v>2106.50174451675</v>
      </c>
      <c r="V200" s="189">
        <f>IF(D200=År1,P200,SUM(O200,P200))*IFERROR(VLOOKUP(A200,[1]Tørstofindhold!A$2:B$24,2,FALSE),0)</f>
        <v>6018.5764129050012</v>
      </c>
      <c r="W200" s="189">
        <f>J200*IFERROR(VLOOKUP(A200,[1]Tørstofindhold!A$2:B$24,2,FALSE),0)</f>
        <v>3912.0746683882508</v>
      </c>
      <c r="X200" s="190">
        <f t="shared" si="51"/>
        <v>2106.5017445167505</v>
      </c>
      <c r="Y200" s="170">
        <f t="shared" si="60"/>
        <v>0</v>
      </c>
      <c r="Z200" s="103">
        <f t="shared" si="61"/>
        <v>1</v>
      </c>
    </row>
    <row r="201" spans="1:26" hidden="1" x14ac:dyDescent="0.25">
      <c r="A201" s="191" t="str">
        <f t="shared" si="56"/>
        <v>Dybstrøelse</v>
      </c>
      <c r="B201" s="191" t="str">
        <f t="shared" si="57"/>
        <v>Husdyrgødning</v>
      </c>
      <c r="C201" s="191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1">
        <f t="shared" si="58"/>
        <v>2030</v>
      </c>
      <c r="E201" s="189" t="s">
        <v>24</v>
      </c>
      <c r="F201" s="192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358118.32667497953</v>
      </c>
      <c r="G201" s="192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9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2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2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232776.9123387367</v>
      </c>
      <c r="K201" s="192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47450.678284434784</v>
      </c>
      <c r="L201" s="192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6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1">
        <f t="shared" si="48"/>
        <v>77890.736051808053</v>
      </c>
      <c r="O201" s="192">
        <f t="shared" si="59"/>
        <v>77890.736051808053</v>
      </c>
      <c r="P201" s="202">
        <f t="shared" si="49"/>
        <v>232776.9123387367</v>
      </c>
      <c r="Q201" s="189">
        <f>IFERROR(VLOOKUP(A201,[1]Energiindhold!$A$2:$C$11,3,FALSE),IFERROR(VLOOKUP(A201,[1]Biogasudbytte!$A$2:$B$18,2,FALSE)*[1]Energiindhold!$C$10,0))*O201</f>
        <v>0.16777664545559454</v>
      </c>
      <c r="R201" s="189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0.6691781146332334</v>
      </c>
      <c r="S201" s="189">
        <f>IFERROR(VLOOKUP(A201,[1]Biogasudbytte!$A$2:$B$18,2,FALSE)*[1]Energiindhold!$C$10,0)*J201*IFERROR(VLOOKUP(A201,Biogasanlæg!$F$3:$G$8,2,FALSE),1)</f>
        <v>0.50140146917763884</v>
      </c>
      <c r="T201" s="190">
        <f t="shared" si="50"/>
        <v>0.16777664545559456</v>
      </c>
      <c r="U201" s="188">
        <f>O201*IFERROR(VLOOKUP(A201,[1]Tørstofindhold!A$2:B$24,2,FALSE),0)</f>
        <v>23367.220815542416</v>
      </c>
      <c r="V201" s="189">
        <f>IF(D201=År1,P201,SUM(O201,P201))*IFERROR(VLOOKUP(A201,[1]Tørstofindhold!A$2:B$24,2,FALSE),0)</f>
        <v>93200.29451716342</v>
      </c>
      <c r="W201" s="189">
        <f>J201*IFERROR(VLOOKUP(A201,[1]Tørstofindhold!A$2:B$24,2,FALSE),0)</f>
        <v>69833.073701621004</v>
      </c>
      <c r="X201" s="190">
        <f t="shared" si="51"/>
        <v>23367.220815542416</v>
      </c>
      <c r="Y201" s="170">
        <f t="shared" si="60"/>
        <v>0</v>
      </c>
      <c r="Z201" s="103">
        <f t="shared" si="61"/>
        <v>1</v>
      </c>
    </row>
    <row r="202" spans="1:26" hidden="1" x14ac:dyDescent="0.25">
      <c r="A202" s="191" t="str">
        <f t="shared" si="56"/>
        <v>Fiberfraktion</v>
      </c>
      <c r="B202" s="191" t="str">
        <f t="shared" si="57"/>
        <v/>
      </c>
      <c r="C202" s="191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1">
        <f t="shared" si="58"/>
        <v>2030</v>
      </c>
      <c r="E202" s="189" t="s">
        <v>24</v>
      </c>
      <c r="F202" s="192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99129.493859611786</v>
      </c>
      <c r="G202" s="192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99063.211565328063</v>
      </c>
      <c r="H202" s="189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2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2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2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2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6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1">
        <f t="shared" si="48"/>
        <v>66.282294283722877</v>
      </c>
      <c r="O202" s="192">
        <f t="shared" si="59"/>
        <v>0</v>
      </c>
      <c r="P202" s="202">
        <f t="shared" si="49"/>
        <v>0</v>
      </c>
      <c r="Q202" s="189">
        <f>IFERROR(VLOOKUP(A202,[1]Energiindhold!$A$2:$C$11,3,FALSE),IFERROR(VLOOKUP(A202,[1]Biogasudbytte!$A$2:$B$18,2,FALSE)*[1]Energiindhold!$C$10,0))*O202</f>
        <v>0</v>
      </c>
      <c r="R202" s="189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9">
        <f>IFERROR(VLOOKUP(A202,[1]Biogasudbytte!$A$2:$B$18,2,FALSE)*[1]Energiindhold!$C$10,0)*J202*IFERROR(VLOOKUP(A202,Biogasanlæg!$F$3:$G$8,2,FALSE),1)</f>
        <v>0</v>
      </c>
      <c r="T202" s="190">
        <f t="shared" si="50"/>
        <v>0</v>
      </c>
      <c r="U202" s="188">
        <f>O202*IFERROR(VLOOKUP(A202,[1]Tørstofindhold!A$2:B$24,2,FALSE),0)</f>
        <v>0</v>
      </c>
      <c r="V202" s="189">
        <f>IF(D202=År1,P202,SUM(O202,P202))*IFERROR(VLOOKUP(A202,[1]Tørstofindhold!A$2:B$24,2,FALSE),0)</f>
        <v>0</v>
      </c>
      <c r="W202" s="189">
        <f>J202*IFERROR(VLOOKUP(A202,[1]Tørstofindhold!A$2:B$24,2,FALSE),0)</f>
        <v>0</v>
      </c>
      <c r="X202" s="190">
        <f t="shared" si="51"/>
        <v>0</v>
      </c>
      <c r="Y202" s="170">
        <f t="shared" si="60"/>
        <v>0</v>
      </c>
      <c r="Z202" s="103">
        <f t="shared" si="61"/>
        <v>1</v>
      </c>
    </row>
    <row r="203" spans="1:26" hidden="1" x14ac:dyDescent="0.25">
      <c r="A203" s="191" t="str">
        <f t="shared" si="56"/>
        <v>Fjerkrægylle</v>
      </c>
      <c r="B203" s="191" t="str">
        <f t="shared" si="57"/>
        <v>Husdyrgødning</v>
      </c>
      <c r="C203" s="191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1">
        <f t="shared" si="58"/>
        <v>2030</v>
      </c>
      <c r="E203" s="189" t="s">
        <v>24</v>
      </c>
      <c r="F203" s="192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778.19051482288</v>
      </c>
      <c r="G203" s="192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9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2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2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505.82383463487201</v>
      </c>
      <c r="K203" s="192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272.36668018800799</v>
      </c>
      <c r="L203" s="192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6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1">
        <f t="shared" si="48"/>
        <v>0</v>
      </c>
      <c r="O203" s="192">
        <f t="shared" si="59"/>
        <v>0</v>
      </c>
      <c r="P203" s="202">
        <f t="shared" si="49"/>
        <v>505.82383463487201</v>
      </c>
      <c r="Q203" s="189">
        <f>IFERROR(VLOOKUP(A203,[1]Energiindhold!$A$2:$C$11,3,FALSE),IFERROR(VLOOKUP(A203,[1]Biogasudbytte!$A$2:$B$18,2,FALSE)*[1]Energiindhold!$C$10,0))*O203</f>
        <v>0</v>
      </c>
      <c r="R203" s="189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2.3788389119043396E-4</v>
      </c>
      <c r="S203" s="189">
        <f>IFERROR(VLOOKUP(A203,[1]Biogasudbytte!$A$2:$B$18,2,FALSE)*[1]Energiindhold!$C$10,0)*J203*IFERROR(VLOOKUP(A203,Biogasanlæg!$F$3:$G$8,2,FALSE),1)</f>
        <v>2.3788389119043396E-4</v>
      </c>
      <c r="T203" s="190">
        <f t="shared" si="50"/>
        <v>0</v>
      </c>
      <c r="U203" s="188">
        <f>O203*IFERROR(VLOOKUP(A203,[1]Tørstofindhold!A$2:B$24,2,FALSE),0)</f>
        <v>0</v>
      </c>
      <c r="V203" s="189">
        <f>IF(D203=År1,P203,SUM(O203,P203))*IFERROR(VLOOKUP(A203,[1]Tørstofindhold!A$2:B$24,2,FALSE),0)</f>
        <v>31.866901581996938</v>
      </c>
      <c r="W203" s="189">
        <f>J203*IFERROR(VLOOKUP(A203,[1]Tørstofindhold!A$2:B$24,2,FALSE),0)</f>
        <v>31.866901581996938</v>
      </c>
      <c r="X203" s="190">
        <f t="shared" si="51"/>
        <v>0</v>
      </c>
      <c r="Y203" s="170">
        <f t="shared" si="60"/>
        <v>0</v>
      </c>
      <c r="Z203" s="103">
        <f t="shared" si="61"/>
        <v>0</v>
      </c>
    </row>
    <row r="204" spans="1:26" hidden="1" x14ac:dyDescent="0.25">
      <c r="A204" s="191" t="str">
        <f t="shared" si="56"/>
        <v>Fjerkrækød</v>
      </c>
      <c r="B204" s="191" t="str">
        <f t="shared" si="57"/>
        <v/>
      </c>
      <c r="C204" s="191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1">
        <f t="shared" si="58"/>
        <v>2030</v>
      </c>
      <c r="E204" s="189" t="s">
        <v>24</v>
      </c>
      <c r="F204" s="192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12965.573823549625</v>
      </c>
      <c r="G204" s="192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9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2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2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2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2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6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1">
        <f t="shared" si="48"/>
        <v>-11482.520951128448</v>
      </c>
      <c r="O204" s="192">
        <f t="shared" si="59"/>
        <v>0</v>
      </c>
      <c r="P204" s="202">
        <f t="shared" si="49"/>
        <v>0</v>
      </c>
      <c r="Q204" s="189">
        <f>IFERROR(VLOOKUP(A204,[1]Energiindhold!$A$2:$C$11,3,FALSE),IFERROR(VLOOKUP(A204,[1]Biogasudbytte!$A$2:$B$18,2,FALSE)*[1]Energiindhold!$C$10,0))*O204</f>
        <v>0</v>
      </c>
      <c r="R204" s="189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9">
        <f>IFERROR(VLOOKUP(A204,[1]Biogasudbytte!$A$2:$B$18,2,FALSE)*[1]Energiindhold!$C$10,0)*J204*IFERROR(VLOOKUP(A204,Biogasanlæg!$F$3:$G$8,2,FALSE),1)</f>
        <v>0</v>
      </c>
      <c r="T204" s="190">
        <f t="shared" si="50"/>
        <v>0</v>
      </c>
      <c r="U204" s="188">
        <f>O204*IFERROR(VLOOKUP(A204,[1]Tørstofindhold!A$2:B$24,2,FALSE),0)</f>
        <v>0</v>
      </c>
      <c r="V204" s="189">
        <f>IF(D204=År1,P204,SUM(O204,P204))*IFERROR(VLOOKUP(A204,[1]Tørstofindhold!A$2:B$24,2,FALSE),0)</f>
        <v>0</v>
      </c>
      <c r="W204" s="189">
        <f>J204*IFERROR(VLOOKUP(A204,[1]Tørstofindhold!A$2:B$24,2,FALSE),0)</f>
        <v>0</v>
      </c>
      <c r="X204" s="190">
        <f t="shared" si="51"/>
        <v>0</v>
      </c>
      <c r="Y204" s="170">
        <f t="shared" si="60"/>
        <v>0</v>
      </c>
      <c r="Z204" s="103">
        <f t="shared" si="61"/>
        <v>1</v>
      </c>
    </row>
    <row r="205" spans="1:26" hidden="1" x14ac:dyDescent="0.25">
      <c r="A205" s="191" t="str">
        <f t="shared" si="56"/>
        <v>Frø</v>
      </c>
      <c r="B205" s="191" t="str">
        <f t="shared" si="57"/>
        <v/>
      </c>
      <c r="C205" s="191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1">
        <f t="shared" si="58"/>
        <v>2030</v>
      </c>
      <c r="E205" s="189" t="s">
        <v>24</v>
      </c>
      <c r="F205" s="192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300694.90203982888</v>
      </c>
      <c r="G205" s="192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9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2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2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2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2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6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1">
        <f t="shared" si="48"/>
        <v>300694.90203982888</v>
      </c>
      <c r="O205" s="192">
        <f t="shared" si="59"/>
        <v>0</v>
      </c>
      <c r="P205" s="202">
        <f t="shared" si="49"/>
        <v>0</v>
      </c>
      <c r="Q205" s="189">
        <f>IFERROR(VLOOKUP(A205,[1]Energiindhold!$A$2:$C$11,3,FALSE),IFERROR(VLOOKUP(A205,[1]Biogasudbytte!$A$2:$B$18,2,FALSE)*[1]Energiindhold!$C$10,0))*O205</f>
        <v>0</v>
      </c>
      <c r="R205" s="189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9">
        <f>IFERROR(VLOOKUP(A205,[1]Biogasudbytte!$A$2:$B$18,2,FALSE)*[1]Energiindhold!$C$10,0)*J205*IFERROR(VLOOKUP(A205,Biogasanlæg!$F$3:$G$8,2,FALSE),1)</f>
        <v>0</v>
      </c>
      <c r="T205" s="190">
        <f t="shared" si="50"/>
        <v>0</v>
      </c>
      <c r="U205" s="188">
        <f>O205*IFERROR(VLOOKUP(A205,[1]Tørstofindhold!A$2:B$24,2,FALSE),0)</f>
        <v>0</v>
      </c>
      <c r="V205" s="189">
        <f>IF(D205=År1,P205,SUM(O205,P205))*IFERROR(VLOOKUP(A205,[1]Tørstofindhold!A$2:B$24,2,FALSE),0)</f>
        <v>0</v>
      </c>
      <c r="W205" s="189">
        <f>J205*IFERROR(VLOOKUP(A205,[1]Tørstofindhold!A$2:B$24,2,FALSE),0)</f>
        <v>0</v>
      </c>
      <c r="X205" s="190">
        <f t="shared" si="51"/>
        <v>0</v>
      </c>
      <c r="Y205" s="170">
        <f t="shared" si="60"/>
        <v>0</v>
      </c>
      <c r="Z205" s="103">
        <f t="shared" si="61"/>
        <v>1</v>
      </c>
    </row>
    <row r="206" spans="1:26" hidden="1" x14ac:dyDescent="0.25">
      <c r="A206" s="191" t="str">
        <f t="shared" si="56"/>
        <v>Frugt</v>
      </c>
      <c r="B206" s="191" t="str">
        <f t="shared" si="57"/>
        <v/>
      </c>
      <c r="C206" s="191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1">
        <f t="shared" si="58"/>
        <v>2030</v>
      </c>
      <c r="E206" s="189" t="s">
        <v>24</v>
      </c>
      <c r="F206" s="192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42029.439455374028</v>
      </c>
      <c r="G206" s="192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9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2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2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2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2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6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1">
        <f t="shared" si="48"/>
        <v>-181294.50319793526</v>
      </c>
      <c r="O206" s="192">
        <f t="shared" si="59"/>
        <v>0</v>
      </c>
      <c r="P206" s="202">
        <f t="shared" si="49"/>
        <v>0</v>
      </c>
      <c r="Q206" s="189">
        <f>IFERROR(VLOOKUP(A206,[1]Energiindhold!$A$2:$C$11,3,FALSE),IFERROR(VLOOKUP(A206,[1]Biogasudbytte!$A$2:$B$18,2,FALSE)*[1]Energiindhold!$C$10,0))*O206</f>
        <v>0</v>
      </c>
      <c r="R206" s="189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9">
        <f>IFERROR(VLOOKUP(A206,[1]Biogasudbytte!$A$2:$B$18,2,FALSE)*[1]Energiindhold!$C$10,0)*J206*IFERROR(VLOOKUP(A206,Biogasanlæg!$F$3:$G$8,2,FALSE),1)</f>
        <v>0</v>
      </c>
      <c r="T206" s="190">
        <f t="shared" si="50"/>
        <v>0</v>
      </c>
      <c r="U206" s="188">
        <f>O206*IFERROR(VLOOKUP(A206,[1]Tørstofindhold!A$2:B$24,2,FALSE),0)</f>
        <v>0</v>
      </c>
      <c r="V206" s="189">
        <f>IF(D206=År1,P206,SUM(O206,P206))*IFERROR(VLOOKUP(A206,[1]Tørstofindhold!A$2:B$24,2,FALSE),0)</f>
        <v>0</v>
      </c>
      <c r="W206" s="189">
        <f>J206*IFERROR(VLOOKUP(A206,[1]Tørstofindhold!A$2:B$24,2,FALSE),0)</f>
        <v>0</v>
      </c>
      <c r="X206" s="190">
        <f t="shared" si="51"/>
        <v>0</v>
      </c>
      <c r="Y206" s="170">
        <f t="shared" si="60"/>
        <v>1</v>
      </c>
      <c r="Z206" s="103">
        <f t="shared" si="61"/>
        <v>0</v>
      </c>
    </row>
    <row r="207" spans="1:26" hidden="1" x14ac:dyDescent="0.25">
      <c r="A207" s="191" t="str">
        <f t="shared" si="56"/>
        <v>Glycerin</v>
      </c>
      <c r="B207" s="191" t="str">
        <f t="shared" si="57"/>
        <v>Glycerin</v>
      </c>
      <c r="C207" s="191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1">
        <f t="shared" si="58"/>
        <v>2030</v>
      </c>
      <c r="E207" s="189" t="s">
        <v>24</v>
      </c>
      <c r="F207" s="192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2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9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2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2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2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2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6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1">
        <f t="shared" si="48"/>
        <v>-28548.400000000001</v>
      </c>
      <c r="O207" s="192">
        <f t="shared" si="59"/>
        <v>0</v>
      </c>
      <c r="P207" s="202">
        <f t="shared" si="49"/>
        <v>28548.400000000001</v>
      </c>
      <c r="Q207" s="189">
        <f>IFERROR(VLOOKUP(A207,[1]Energiindhold!$A$2:$C$11,3,FALSE),IFERROR(VLOOKUP(A207,[1]Biogasudbytte!$A$2:$B$18,2,FALSE)*[1]Energiindhold!$C$10,0))*O207</f>
        <v>0</v>
      </c>
      <c r="R207" s="189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9">
        <f>IFERROR(VLOOKUP(A207,[1]Biogasudbytte!$A$2:$B$18,2,FALSE)*[1]Energiindhold!$C$10,0)*J207*IFERROR(VLOOKUP(A207,Biogasanlæg!$F$3:$G$8,2,FALSE),1)</f>
        <v>0.43389639740160008</v>
      </c>
      <c r="T207" s="190">
        <f t="shared" si="50"/>
        <v>0</v>
      </c>
      <c r="U207" s="188">
        <f>O207*IFERROR(VLOOKUP(A207,[1]Tørstofindhold!A$2:B$24,2,FALSE),0)</f>
        <v>0</v>
      </c>
      <c r="V207" s="189">
        <f>IF(D207=År1,P207,SUM(O207,P207))*IFERROR(VLOOKUP(A207,[1]Tørstofindhold!A$2:B$24,2,FALSE),0)</f>
        <v>25693.56</v>
      </c>
      <c r="W207" s="189">
        <f>J207*IFERROR(VLOOKUP(A207,[1]Tørstofindhold!A$2:B$24,2,FALSE),0)</f>
        <v>25693.56</v>
      </c>
      <c r="X207" s="190">
        <f t="shared" si="51"/>
        <v>0</v>
      </c>
      <c r="Y207" s="170">
        <f t="shared" si="60"/>
        <v>1</v>
      </c>
      <c r="Z207" s="103">
        <f t="shared" si="61"/>
        <v>0</v>
      </c>
    </row>
    <row r="208" spans="1:26" hidden="1" x14ac:dyDescent="0.25">
      <c r="A208" s="191" t="str">
        <f t="shared" si="56"/>
        <v>Græs</v>
      </c>
      <c r="B208" s="191" t="str">
        <f t="shared" si="57"/>
        <v>Græs og urter</v>
      </c>
      <c r="C208" s="191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1">
        <f t="shared" si="58"/>
        <v>2030</v>
      </c>
      <c r="E208" s="189" t="s">
        <v>24</v>
      </c>
      <c r="F208" s="192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3889048.5773336194</v>
      </c>
      <c r="G208" s="192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1142611.4363447551</v>
      </c>
      <c r="H208" s="189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2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2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2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2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6">
        <f>SUMIFS('Forbrug af biomasse'!E:E,'Forbrug af biomasse'!C:C,'Resultat-Produktion &amp; forbrug'!$A208,'Forbrug af biomasse'!D:D,'Resultat-Produktion &amp; forbrug'!$D208,'Forbrug af biomasse'!G:G,1,'Forbrug af biomasse'!B:B,$E208)</f>
        <v>288019.44387638377</v>
      </c>
      <c r="N208" s="201">
        <f t="shared" si="48"/>
        <v>2458417.6971124802</v>
      </c>
      <c r="O208" s="192">
        <f t="shared" si="59"/>
        <v>2458417.6971124802</v>
      </c>
      <c r="P208" s="202">
        <f t="shared" si="49"/>
        <v>0</v>
      </c>
      <c r="Q208" s="189">
        <f>IFERROR(VLOOKUP(A208,[1]Energiindhold!$A$2:$C$11,3,FALSE),IFERROR(VLOOKUP(A208,[1]Biogasudbytte!$A$2:$B$18,2,FALSE)*[1]Energiindhold!$C$10,0))*O208</f>
        <v>4.5231812604748249</v>
      </c>
      <c r="R208" s="189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4.5231812604748249</v>
      </c>
      <c r="S208" s="189">
        <f>IFERROR(VLOOKUP(A208,[1]Biogasudbytte!$A$2:$B$18,2,FALSE)*[1]Energiindhold!$C$10,0)*J208*IFERROR(VLOOKUP(A208,Biogasanlæg!$F$3:$G$8,2,FALSE),1)</f>
        <v>0</v>
      </c>
      <c r="T208" s="190">
        <f t="shared" si="50"/>
        <v>4.5231812604748249</v>
      </c>
      <c r="U208" s="188">
        <f>O208*IFERROR(VLOOKUP(A208,[1]Tørstofindhold!A$2:B$24,2,FALSE),0)</f>
        <v>688356.95519149455</v>
      </c>
      <c r="V208" s="189">
        <f>IF(D208=År1,P208,SUM(O208,P208))*IFERROR(VLOOKUP(A208,[1]Tørstofindhold!A$2:B$24,2,FALSE),0)</f>
        <v>688356.95519149455</v>
      </c>
      <c r="W208" s="189">
        <f>J208*IFERROR(VLOOKUP(A208,[1]Tørstofindhold!A$2:B$24,2,FALSE),0)</f>
        <v>0</v>
      </c>
      <c r="X208" s="190">
        <f t="shared" si="51"/>
        <v>688356.95519149455</v>
      </c>
      <c r="Y208" s="170">
        <f t="shared" si="60"/>
        <v>0</v>
      </c>
      <c r="Z208" s="103">
        <f t="shared" si="61"/>
        <v>1</v>
      </c>
    </row>
    <row r="209" spans="1:26" hidden="1" x14ac:dyDescent="0.25">
      <c r="A209" s="191" t="str">
        <f t="shared" si="56"/>
        <v>Græsprotein</v>
      </c>
      <c r="B209" s="191" t="str">
        <f t="shared" si="57"/>
        <v/>
      </c>
      <c r="C209" s="191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1">
        <f t="shared" si="58"/>
        <v>2030</v>
      </c>
      <c r="E209" s="189" t="s">
        <v>24</v>
      </c>
      <c r="F209" s="192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48148.61130324001</v>
      </c>
      <c r="G209" s="192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48148.61130324001</v>
      </c>
      <c r="H209" s="189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2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2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2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2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6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1">
        <f t="shared" si="48"/>
        <v>0</v>
      </c>
      <c r="O209" s="192">
        <f t="shared" si="59"/>
        <v>0</v>
      </c>
      <c r="P209" s="202">
        <f t="shared" si="49"/>
        <v>0</v>
      </c>
      <c r="Q209" s="189">
        <f>IFERROR(VLOOKUP(A209,[1]Energiindhold!$A$2:$C$11,3,FALSE),IFERROR(VLOOKUP(A209,[1]Biogasudbytte!$A$2:$B$18,2,FALSE)*[1]Energiindhold!$C$10,0))*O209</f>
        <v>0</v>
      </c>
      <c r="R209" s="189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9">
        <f>IFERROR(VLOOKUP(A209,[1]Biogasudbytte!$A$2:$B$18,2,FALSE)*[1]Energiindhold!$C$10,0)*J209*IFERROR(VLOOKUP(A209,Biogasanlæg!$F$3:$G$8,2,FALSE),1)</f>
        <v>0</v>
      </c>
      <c r="T209" s="190">
        <f t="shared" si="50"/>
        <v>0</v>
      </c>
      <c r="U209" s="188">
        <f>O209*IFERROR(VLOOKUP(A209,[1]Tørstofindhold!A$2:B$24,2,FALSE),0)</f>
        <v>0</v>
      </c>
      <c r="V209" s="189">
        <f>IF(D209=År1,P209,SUM(O209,P209))*IFERROR(VLOOKUP(A209,[1]Tørstofindhold!A$2:B$24,2,FALSE),0)</f>
        <v>0</v>
      </c>
      <c r="W209" s="189">
        <f>J209*IFERROR(VLOOKUP(A209,[1]Tørstofindhold!A$2:B$24,2,FALSE),0)</f>
        <v>0</v>
      </c>
      <c r="X209" s="190">
        <f t="shared" si="51"/>
        <v>0</v>
      </c>
      <c r="Y209" s="170">
        <f t="shared" si="60"/>
        <v>0</v>
      </c>
      <c r="Z209" s="103">
        <f t="shared" si="61"/>
        <v>0</v>
      </c>
    </row>
    <row r="210" spans="1:26" hidden="1" x14ac:dyDescent="0.25">
      <c r="A210" s="191" t="str">
        <f t="shared" si="56"/>
        <v>Grøntsager</v>
      </c>
      <c r="B210" s="191" t="str">
        <f t="shared" si="57"/>
        <v/>
      </c>
      <c r="C210" s="191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1">
        <f t="shared" si="58"/>
        <v>2030</v>
      </c>
      <c r="E210" s="189" t="s">
        <v>24</v>
      </c>
      <c r="F210" s="192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452009.50532141351</v>
      </c>
      <c r="G210" s="192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9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2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2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2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2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6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1">
        <f t="shared" si="48"/>
        <v>218107.06012136853</v>
      </c>
      <c r="O210" s="192">
        <f t="shared" si="59"/>
        <v>0</v>
      </c>
      <c r="P210" s="202">
        <f t="shared" si="49"/>
        <v>0</v>
      </c>
      <c r="Q210" s="189">
        <f>IFERROR(VLOOKUP(A210,[1]Energiindhold!$A$2:$C$11,3,FALSE),IFERROR(VLOOKUP(A210,[1]Biogasudbytte!$A$2:$B$18,2,FALSE)*[1]Energiindhold!$C$10,0))*O210</f>
        <v>0</v>
      </c>
      <c r="R210" s="189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9">
        <f>IFERROR(VLOOKUP(A210,[1]Biogasudbytte!$A$2:$B$18,2,FALSE)*[1]Energiindhold!$C$10,0)*J210*IFERROR(VLOOKUP(A210,Biogasanlæg!$F$3:$G$8,2,FALSE),1)</f>
        <v>0</v>
      </c>
      <c r="T210" s="190">
        <f t="shared" si="50"/>
        <v>0</v>
      </c>
      <c r="U210" s="188">
        <f>O210*IFERROR(VLOOKUP(A210,[1]Tørstofindhold!A$2:B$24,2,FALSE),0)</f>
        <v>0</v>
      </c>
      <c r="V210" s="189">
        <f>IF(D210=År1,P210,SUM(O210,P210))*IFERROR(VLOOKUP(A210,[1]Tørstofindhold!A$2:B$24,2,FALSE),0)</f>
        <v>0</v>
      </c>
      <c r="W210" s="189">
        <f>J210*IFERROR(VLOOKUP(A210,[1]Tørstofindhold!A$2:B$24,2,FALSE),0)</f>
        <v>0</v>
      </c>
      <c r="X210" s="190">
        <f t="shared" si="51"/>
        <v>0</v>
      </c>
      <c r="Y210" s="170">
        <f t="shared" si="60"/>
        <v>0</v>
      </c>
      <c r="Z210" s="103">
        <f t="shared" si="61"/>
        <v>1</v>
      </c>
    </row>
    <row r="211" spans="1:26" x14ac:dyDescent="0.25">
      <c r="A211" s="191" t="str">
        <f t="shared" si="56"/>
        <v>Halm</v>
      </c>
      <c r="B211" s="191" t="str">
        <f t="shared" si="57"/>
        <v>Halm og strå</v>
      </c>
      <c r="C211" s="191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1">
        <f t="shared" si="58"/>
        <v>2030</v>
      </c>
      <c r="E211" s="189" t="s">
        <v>24</v>
      </c>
      <c r="F211" s="192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876609.03680475557</v>
      </c>
      <c r="G211" s="192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0</v>
      </c>
      <c r="H211" s="189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75766.923793950002</v>
      </c>
      <c r="I211" s="192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2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2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2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406492.37528769014</v>
      </c>
      <c r="M211" s="156">
        <f>SUMIFS('Forbrug af biomasse'!E:E,'Forbrug af biomasse'!C:C,'Resultat-Produktion &amp; forbrug'!$A211,'Forbrug af biomasse'!D:D,'Resultat-Produktion &amp; forbrug'!$D211,'Forbrug af biomasse'!G:G,1,'Forbrug af biomasse'!B:B,$E211)</f>
        <v>394349.73772311531</v>
      </c>
      <c r="N211" s="201">
        <f t="shared" si="48"/>
        <v>0</v>
      </c>
      <c r="O211" s="192">
        <f t="shared" si="59"/>
        <v>0</v>
      </c>
      <c r="P211" s="202">
        <f t="shared" si="49"/>
        <v>406492.37528769014</v>
      </c>
      <c r="Q211" s="189">
        <f>IFERROR(VLOOKUP(A211,[1]Energiindhold!$A$2:$C$11,3,FALSE),IFERROR(VLOOKUP(A211,[1]Biogasudbytte!$A$2:$B$18,2,FALSE)*[1]Energiindhold!$C$10,0))*O211</f>
        <v>0</v>
      </c>
      <c r="R211" s="189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4.2014264693082932</v>
      </c>
      <c r="S211" s="189">
        <f>IFERROR(VLOOKUP(A211,[1]Biogasudbytte!$A$2:$B$18,2,FALSE)*[1]Energiindhold!$C$10,0)*J211*IFERROR(VLOOKUP(A211,Biogasanlæg!$F$3:$G$8,2,FALSE),1)</f>
        <v>0</v>
      </c>
      <c r="T211" s="190">
        <f t="shared" si="50"/>
        <v>4.2014264693082932</v>
      </c>
      <c r="U211" s="188">
        <f>O211*IFERROR(VLOOKUP(A211,[1]Tørstofindhold!A$2:B$24,2,FALSE),0)</f>
        <v>0</v>
      </c>
      <c r="V211" s="189">
        <f>IF(D211=År1,P211,SUM(O211,P211))*IFERROR(VLOOKUP(A211,[1]Tørstofindhold!A$2:B$24,2,FALSE),0)</f>
        <v>345518.5189945366</v>
      </c>
      <c r="W211" s="189">
        <f>J211*IFERROR(VLOOKUP(A211,[1]Tørstofindhold!A$2:B$24,2,FALSE),0)</f>
        <v>0</v>
      </c>
      <c r="X211" s="190">
        <f t="shared" si="51"/>
        <v>345518.5189945366</v>
      </c>
      <c r="Y211" s="170">
        <f t="shared" si="60"/>
        <v>0</v>
      </c>
      <c r="Z211" s="103">
        <f t="shared" si="61"/>
        <v>0</v>
      </c>
    </row>
    <row r="212" spans="1:26" hidden="1" x14ac:dyDescent="0.25">
      <c r="A212" s="191" t="str">
        <f t="shared" si="56"/>
        <v>Have/parkaffald</v>
      </c>
      <c r="B212" s="191" t="str">
        <f t="shared" si="57"/>
        <v>Bionedbrydeligt affald</v>
      </c>
      <c r="C212" s="191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1">
        <f t="shared" si="58"/>
        <v>2030</v>
      </c>
      <c r="E212" s="189" t="s">
        <v>24</v>
      </c>
      <c r="F212" s="192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2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9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2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2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2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2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6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1">
        <f t="shared" si="48"/>
        <v>0</v>
      </c>
      <c r="O212" s="192">
        <f t="shared" si="59"/>
        <v>0</v>
      </c>
      <c r="P212" s="202">
        <f t="shared" si="49"/>
        <v>456074.89013160887</v>
      </c>
      <c r="Q212" s="189">
        <f>IFERROR(VLOOKUP(A212,[1]Energiindhold!$A$2:$C$11,3,FALSE),IFERROR(VLOOKUP(A212,[1]Biogasudbytte!$A$2:$B$18,2,FALSE)*[1]Energiindhold!$C$10,0))*O212</f>
        <v>0</v>
      </c>
      <c r="R212" s="189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89">
        <f>IFERROR(VLOOKUP(A212,[1]Biogasudbytte!$A$2:$B$18,2,FALSE)*[1]Energiindhold!$C$10,0)*J212*IFERROR(VLOOKUP(A212,Biogasanlæg!$F$3:$G$8,2,FALSE),1)</f>
        <v>0.63039478774474478</v>
      </c>
      <c r="T212" s="190">
        <f t="shared" si="50"/>
        <v>1.5144566731111486</v>
      </c>
      <c r="U212" s="188">
        <f>O212*IFERROR(VLOOKUP(A212,[1]Tørstofindhold!A$2:B$24,2,FALSE),0)</f>
        <v>0</v>
      </c>
      <c r="V212" s="189">
        <f>IF(D212=År1,P212,SUM(O212,P212))*IFERROR(VLOOKUP(A212,[1]Tørstofindhold!A$2:B$24,2,FALSE),0)</f>
        <v>136822.46703948267</v>
      </c>
      <c r="W212" s="189">
        <f>J212*IFERROR(VLOOKUP(A212,[1]Tørstofindhold!A$2:B$24,2,FALSE),0)</f>
        <v>111372.5796483204</v>
      </c>
      <c r="X212" s="190">
        <f t="shared" si="51"/>
        <v>25449.887391162265</v>
      </c>
      <c r="Y212" s="170">
        <f t="shared" si="60"/>
        <v>0</v>
      </c>
      <c r="Z212" s="103">
        <f t="shared" si="61"/>
        <v>0</v>
      </c>
    </row>
    <row r="213" spans="1:26" hidden="1" x14ac:dyDescent="0.25">
      <c r="A213" s="191" t="str">
        <f t="shared" si="56"/>
        <v>Import af foder</v>
      </c>
      <c r="B213" s="191" t="str">
        <f t="shared" si="57"/>
        <v/>
      </c>
      <c r="C213" s="191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1">
        <f t="shared" si="58"/>
        <v>2030</v>
      </c>
      <c r="E213" s="189" t="s">
        <v>24</v>
      </c>
      <c r="F213" s="192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2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223748.01893181339</v>
      </c>
      <c r="H213" s="189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2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2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2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2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6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1">
        <f t="shared" si="48"/>
        <v>-223748.01893181339</v>
      </c>
      <c r="O213" s="192">
        <f t="shared" si="59"/>
        <v>0</v>
      </c>
      <c r="P213" s="202">
        <f t="shared" si="49"/>
        <v>0</v>
      </c>
      <c r="Q213" s="189">
        <f>IFERROR(VLOOKUP(A213,[1]Energiindhold!$A$2:$C$11,3,FALSE),IFERROR(VLOOKUP(A213,[1]Biogasudbytte!$A$2:$B$18,2,FALSE)*[1]Energiindhold!$C$10,0))*O213</f>
        <v>0</v>
      </c>
      <c r="R213" s="189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9">
        <f>IFERROR(VLOOKUP(A213,[1]Biogasudbytte!$A$2:$B$18,2,FALSE)*[1]Energiindhold!$C$10,0)*J213*IFERROR(VLOOKUP(A213,Biogasanlæg!$F$3:$G$8,2,FALSE),1)</f>
        <v>0</v>
      </c>
      <c r="T213" s="190">
        <f t="shared" si="50"/>
        <v>0</v>
      </c>
      <c r="U213" s="188">
        <f>O213*IFERROR(VLOOKUP(A213,[1]Tørstofindhold!A$2:B$24,2,FALSE),0)</f>
        <v>0</v>
      </c>
      <c r="V213" s="189">
        <f>IF(D213=År1,P213,SUM(O213,P213))*IFERROR(VLOOKUP(A213,[1]Tørstofindhold!A$2:B$24,2,FALSE),0)</f>
        <v>0</v>
      </c>
      <c r="W213" s="189">
        <f>J213*IFERROR(VLOOKUP(A213,[1]Tørstofindhold!A$2:B$24,2,FALSE),0)</f>
        <v>0</v>
      </c>
      <c r="X213" s="190">
        <f t="shared" si="51"/>
        <v>0</v>
      </c>
      <c r="Y213" s="170">
        <f t="shared" si="60"/>
        <v>1</v>
      </c>
      <c r="Z213" s="103">
        <f t="shared" si="61"/>
        <v>0</v>
      </c>
    </row>
    <row r="214" spans="1:26" hidden="1" x14ac:dyDescent="0.25">
      <c r="A214" s="191" t="str">
        <f t="shared" si="56"/>
        <v>Industriaffald</v>
      </c>
      <c r="B214" s="191" t="str">
        <f t="shared" si="57"/>
        <v>Bionedbrydeligt affald</v>
      </c>
      <c r="C214" s="191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1">
        <f t="shared" si="58"/>
        <v>2030</v>
      </c>
      <c r="E214" s="189" t="s">
        <v>24</v>
      </c>
      <c r="F214" s="192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192785.18866068762</v>
      </c>
      <c r="G214" s="192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9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2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2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184388.53331270564</v>
      </c>
      <c r="K214" s="192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2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6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1">
        <f t="shared" si="48"/>
        <v>8396.655347981985</v>
      </c>
      <c r="O214" s="192">
        <f t="shared" si="59"/>
        <v>8396.655347981985</v>
      </c>
      <c r="P214" s="202">
        <f t="shared" si="49"/>
        <v>184388.53331270564</v>
      </c>
      <c r="Q214" s="189">
        <f>IFERROR(VLOOKUP(A214,[1]Energiindhold!$A$2:$C$11,3,FALSE),IFERROR(VLOOKUP(A214,[1]Biogasudbytte!$A$2:$B$18,2,FALSE)*[1]Energiindhold!$C$10,0))*O214</f>
        <v>3.6383799188001185E-2</v>
      </c>
      <c r="R214" s="189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0.71551636173829269</v>
      </c>
      <c r="S214" s="189">
        <f>IFERROR(VLOOKUP(A214,[1]Biogasudbytte!$A$2:$B$18,2,FALSE)*[1]Energiindhold!$C$10,0)*J214*IFERROR(VLOOKUP(A214,Biogasanlæg!$F$3:$G$8,2,FALSE),1)</f>
        <v>0.67913256255029153</v>
      </c>
      <c r="T214" s="190">
        <f t="shared" si="50"/>
        <v>3.6383799188001165E-2</v>
      </c>
      <c r="U214" s="188">
        <f>O214*IFERROR(VLOOKUP(A214,[1]Tørstofindhold!A$2:B$24,2,FALSE),0)</f>
        <v>3526.5952461524334</v>
      </c>
      <c r="V214" s="189">
        <f>IF(D214=År1,P214,SUM(O214,P214))*IFERROR(VLOOKUP(A214,[1]Tørstofindhold!A$2:B$24,2,FALSE),0)</f>
        <v>80969.779237488794</v>
      </c>
      <c r="W214" s="189">
        <f>J214*IFERROR(VLOOKUP(A214,[1]Tørstofindhold!A$2:B$24,2,FALSE),0)</f>
        <v>77443.183991336366</v>
      </c>
      <c r="X214" s="190">
        <f t="shared" si="51"/>
        <v>3526.5952461524284</v>
      </c>
      <c r="Y214" s="170">
        <f t="shared" si="60"/>
        <v>0</v>
      </c>
      <c r="Z214" s="103">
        <f t="shared" si="61"/>
        <v>1</v>
      </c>
    </row>
    <row r="215" spans="1:26" hidden="1" x14ac:dyDescent="0.25">
      <c r="A215" s="191" t="str">
        <f t="shared" si="56"/>
        <v>Juletræer</v>
      </c>
      <c r="B215" s="191" t="str">
        <f t="shared" si="57"/>
        <v/>
      </c>
      <c r="C215" s="191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1">
        <f t="shared" si="58"/>
        <v>2030</v>
      </c>
      <c r="E215" s="189" t="s">
        <v>24</v>
      </c>
      <c r="F215" s="192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188679.01735181612</v>
      </c>
      <c r="G215" s="192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9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2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2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2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2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6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1">
        <f t="shared" si="48"/>
        <v>188679.01735181612</v>
      </c>
      <c r="O215" s="192">
        <f t="shared" si="59"/>
        <v>0</v>
      </c>
      <c r="P215" s="202">
        <f t="shared" si="49"/>
        <v>0</v>
      </c>
      <c r="Q215" s="189">
        <f>IFERROR(VLOOKUP(A215,[1]Energiindhold!$A$2:$C$11,3,FALSE),IFERROR(VLOOKUP(A215,[1]Biogasudbytte!$A$2:$B$18,2,FALSE)*[1]Energiindhold!$C$10,0))*O215</f>
        <v>0</v>
      </c>
      <c r="R215" s="189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9">
        <f>IFERROR(VLOOKUP(A215,[1]Biogasudbytte!$A$2:$B$18,2,FALSE)*[1]Energiindhold!$C$10,0)*J215*IFERROR(VLOOKUP(A215,Biogasanlæg!$F$3:$G$8,2,FALSE),1)</f>
        <v>0</v>
      </c>
      <c r="T215" s="190">
        <f t="shared" si="50"/>
        <v>0</v>
      </c>
      <c r="U215" s="188">
        <f>O215*IFERROR(VLOOKUP(A215,[1]Tørstofindhold!A$2:B$24,2,FALSE),0)</f>
        <v>0</v>
      </c>
      <c r="V215" s="189">
        <f>IF(D215=År1,P215,SUM(O215,P215))*IFERROR(VLOOKUP(A215,[1]Tørstofindhold!A$2:B$24,2,FALSE),0)</f>
        <v>0</v>
      </c>
      <c r="W215" s="189">
        <f>J215*IFERROR(VLOOKUP(A215,[1]Tørstofindhold!A$2:B$24,2,FALSE),0)</f>
        <v>0</v>
      </c>
      <c r="X215" s="190">
        <f t="shared" si="51"/>
        <v>0</v>
      </c>
      <c r="Y215" s="170">
        <f t="shared" si="60"/>
        <v>0</v>
      </c>
      <c r="Z215" s="103">
        <f t="shared" si="61"/>
        <v>1</v>
      </c>
    </row>
    <row r="216" spans="1:26" hidden="1" x14ac:dyDescent="0.25">
      <c r="A216" s="191" t="str">
        <f t="shared" si="56"/>
        <v>Kartofler</v>
      </c>
      <c r="B216" s="191" t="str">
        <f t="shared" si="57"/>
        <v/>
      </c>
      <c r="C216" s="191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1">
        <f t="shared" si="58"/>
        <v>2030</v>
      </c>
      <c r="E216" s="189" t="s">
        <v>24</v>
      </c>
      <c r="F216" s="192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629409.67357184645</v>
      </c>
      <c r="G216" s="192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9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2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2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2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2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6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1">
        <f t="shared" ref="N216:N281" si="62">F216-SUM(G216:M216)</f>
        <v>522449.25893262989</v>
      </c>
      <c r="O216" s="192">
        <f t="shared" si="59"/>
        <v>0</v>
      </c>
      <c r="P216" s="202">
        <f t="shared" ref="P216:P281" si="63">SUM(J216,L216)</f>
        <v>0</v>
      </c>
      <c r="Q216" s="189">
        <f>IFERROR(VLOOKUP(A216,[1]Energiindhold!$A$2:$C$11,3,FALSE),IFERROR(VLOOKUP(A216,[1]Biogasudbytte!$A$2:$B$18,2,FALSE)*[1]Energiindhold!$C$10,0))*O216</f>
        <v>0</v>
      </c>
      <c r="R216" s="189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9">
        <f>IFERROR(VLOOKUP(A216,[1]Biogasudbytte!$A$2:$B$18,2,FALSE)*[1]Energiindhold!$C$10,0)*J216*IFERROR(VLOOKUP(A216,Biogasanlæg!$F$3:$G$8,2,FALSE),1)</f>
        <v>0</v>
      </c>
      <c r="T216" s="190">
        <f t="shared" ref="T216:T281" si="64">R216-S216</f>
        <v>0</v>
      </c>
      <c r="U216" s="188">
        <f>O216*IFERROR(VLOOKUP(A216,[1]Tørstofindhold!A$2:B$24,2,FALSE),0)</f>
        <v>0</v>
      </c>
      <c r="V216" s="189">
        <f>IF(D216=År1,P216,SUM(O216,P216))*IFERROR(VLOOKUP(A216,[1]Tørstofindhold!A$2:B$24,2,FALSE),0)</f>
        <v>0</v>
      </c>
      <c r="W216" s="189">
        <f>J216*IFERROR(VLOOKUP(A216,[1]Tørstofindhold!A$2:B$24,2,FALSE),0)</f>
        <v>0</v>
      </c>
      <c r="X216" s="190">
        <f t="shared" ref="X216:X281" si="65">V216-W216</f>
        <v>0</v>
      </c>
      <c r="Y216" s="170">
        <f t="shared" si="60"/>
        <v>0</v>
      </c>
      <c r="Z216" s="103">
        <f t="shared" si="61"/>
        <v>1</v>
      </c>
    </row>
    <row r="217" spans="1:26" hidden="1" x14ac:dyDescent="0.25">
      <c r="A217" s="191" t="str">
        <f t="shared" si="56"/>
        <v>Korn</v>
      </c>
      <c r="B217" s="191" t="str">
        <f t="shared" si="57"/>
        <v>Halm og strå</v>
      </c>
      <c r="C217" s="191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1">
        <f t="shared" si="58"/>
        <v>2030</v>
      </c>
      <c r="E217" s="189" t="s">
        <v>24</v>
      </c>
      <c r="F217" s="192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1453462.7708228838</v>
      </c>
      <c r="G217" s="192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544956.27419303753</v>
      </c>
      <c r="H217" s="189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2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2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2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2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6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1">
        <f>F217-SUM(G217:M217)</f>
        <v>652271.65716447029</v>
      </c>
      <c r="O217" s="192">
        <f t="shared" si="59"/>
        <v>463910.9333094554</v>
      </c>
      <c r="P217" s="202">
        <f t="shared" si="63"/>
        <v>0</v>
      </c>
      <c r="Q217" s="189">
        <f>IFERROR(VLOOKUP(A217,[1]Energiindhold!$A$2:$C$11,3,FALSE),IFERROR(VLOOKUP(A217,[1]Biogasudbytte!$A$2:$B$18,2,FALSE)*[1]Energiindhold!$C$10,0))*O217</f>
        <v>1.5888299990542216</v>
      </c>
      <c r="R217" s="189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1.5888299990542216</v>
      </c>
      <c r="S217" s="189">
        <f>IFERROR(VLOOKUP(A217,[1]Biogasudbytte!$A$2:$B$18,2,FALSE)*[1]Energiindhold!$C$10,0)*J217*IFERROR(VLOOKUP(A217,Biogasanlæg!$F$3:$G$8,2,FALSE),1)</f>
        <v>0</v>
      </c>
      <c r="T217" s="190">
        <f t="shared" si="64"/>
        <v>1.5888299990542216</v>
      </c>
      <c r="U217" s="188">
        <f>O217*IFERROR(VLOOKUP(A217,[1]Tørstofindhold!A$2:B$24,2,FALSE),0)</f>
        <v>143812.38932593117</v>
      </c>
      <c r="V217" s="189">
        <f>IF(D217=År1,P217,SUM(O217,P217))*IFERROR(VLOOKUP(A217,[1]Tørstofindhold!A$2:B$24,2,FALSE),0)</f>
        <v>143812.38932593117</v>
      </c>
      <c r="W217" s="189">
        <f>J217*IFERROR(VLOOKUP(A217,[1]Tørstofindhold!A$2:B$24,2,FALSE),0)</f>
        <v>0</v>
      </c>
      <c r="X217" s="190">
        <f t="shared" si="65"/>
        <v>143812.38932593117</v>
      </c>
      <c r="Y217" s="170">
        <f t="shared" si="60"/>
        <v>0</v>
      </c>
      <c r="Z217" s="103">
        <f t="shared" si="61"/>
        <v>1</v>
      </c>
    </row>
    <row r="218" spans="1:26" hidden="1" x14ac:dyDescent="0.25">
      <c r="A218" s="191" t="str">
        <f t="shared" si="56"/>
        <v>Kunstgødning</v>
      </c>
      <c r="B218" s="191" t="str">
        <f t="shared" si="57"/>
        <v/>
      </c>
      <c r="C218" s="191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1">
        <f t="shared" si="58"/>
        <v>2030</v>
      </c>
      <c r="E218" s="189" t="s">
        <v>24</v>
      </c>
      <c r="F218" s="192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2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9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2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2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2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491101.64058741054</v>
      </c>
      <c r="L218" s="192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6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1">
        <f t="shared" ca="1" si="62"/>
        <v>-491101.64058741054</v>
      </c>
      <c r="O218" s="192">
        <f t="shared" si="59"/>
        <v>0</v>
      </c>
      <c r="P218" s="202">
        <f t="shared" si="63"/>
        <v>0</v>
      </c>
      <c r="Q218" s="189">
        <f>IFERROR(VLOOKUP(A218,[1]Energiindhold!$A$2:$C$11,3,FALSE),IFERROR(VLOOKUP(A218,[1]Biogasudbytte!$A$2:$B$18,2,FALSE)*[1]Energiindhold!$C$10,0))*O218</f>
        <v>0</v>
      </c>
      <c r="R218" s="189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9">
        <f>IFERROR(VLOOKUP(A218,[1]Biogasudbytte!$A$2:$B$18,2,FALSE)*[1]Energiindhold!$C$10,0)*J218*IFERROR(VLOOKUP(A218,Biogasanlæg!$F$3:$G$8,2,FALSE),1)</f>
        <v>0</v>
      </c>
      <c r="T218" s="190">
        <f t="shared" si="64"/>
        <v>0</v>
      </c>
      <c r="U218" s="188">
        <f>O218*IFERROR(VLOOKUP(A218,[1]Tørstofindhold!A$2:B$24,2,FALSE),0)</f>
        <v>0</v>
      </c>
      <c r="V218" s="189">
        <f>IF(D218=År1,P218,SUM(O218,P218))*IFERROR(VLOOKUP(A218,[1]Tørstofindhold!A$2:B$24,2,FALSE),0)</f>
        <v>0</v>
      </c>
      <c r="W218" s="189">
        <f>J218*IFERROR(VLOOKUP(A218,[1]Tørstofindhold!A$2:B$24,2,FALSE),0)</f>
        <v>0</v>
      </c>
      <c r="X218" s="190">
        <f t="shared" si="65"/>
        <v>0</v>
      </c>
      <c r="Y218" s="170">
        <f t="shared" ca="1" si="60"/>
        <v>1</v>
      </c>
      <c r="Z218" s="103">
        <f t="shared" ca="1" si="61"/>
        <v>0</v>
      </c>
    </row>
    <row r="219" spans="1:26" hidden="1" x14ac:dyDescent="0.25">
      <c r="A219" s="191" t="str">
        <f t="shared" si="56"/>
        <v>Kvæggylle</v>
      </c>
      <c r="B219" s="191" t="str">
        <f t="shared" si="57"/>
        <v>Husdyrgødning</v>
      </c>
      <c r="C219" s="191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1">
        <f t="shared" si="58"/>
        <v>2030</v>
      </c>
      <c r="E219" s="189" t="s">
        <v>24</v>
      </c>
      <c r="F219" s="192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649792.49426575436</v>
      </c>
      <c r="G219" s="192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9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2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2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422365.12127274036</v>
      </c>
      <c r="K219" s="192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227427.37299301403</v>
      </c>
      <c r="L219" s="192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6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1">
        <f t="shared" si="62"/>
        <v>0</v>
      </c>
      <c r="O219" s="192">
        <f t="shared" si="59"/>
        <v>0</v>
      </c>
      <c r="P219" s="202">
        <f t="shared" si="63"/>
        <v>422365.12127274036</v>
      </c>
      <c r="Q219" s="189">
        <f>IFERROR(VLOOKUP(A219,[1]Energiindhold!$A$2:$C$11,3,FALSE),IFERROR(VLOOKUP(A219,[1]Biogasudbytte!$A$2:$B$18,2,FALSE)*[1]Energiindhold!$C$10,0))*O219</f>
        <v>0</v>
      </c>
      <c r="R219" s="189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0.21379700073704846</v>
      </c>
      <c r="S219" s="189">
        <f>IFERROR(VLOOKUP(A219,[1]Biogasudbytte!$A$2:$B$18,2,FALSE)*[1]Energiindhold!$C$10,0)*J219*IFERROR(VLOOKUP(A219,Biogasanlæg!$F$3:$G$8,2,FALSE),1)</f>
        <v>0.21379700073704846</v>
      </c>
      <c r="T219" s="190">
        <f t="shared" si="64"/>
        <v>0</v>
      </c>
      <c r="U219" s="188">
        <f>O219*IFERROR(VLOOKUP(A219,[1]Tørstofindhold!A$2:B$24,2,FALSE),0)</f>
        <v>0</v>
      </c>
      <c r="V219" s="189">
        <f>IF(D219=År1,P219,SUM(O219,P219))*IFERROR(VLOOKUP(A219,[1]Tørstofindhold!A$2:B$24,2,FALSE),0)</f>
        <v>32099.749216728265</v>
      </c>
      <c r="W219" s="189">
        <f>J219*IFERROR(VLOOKUP(A219,[1]Tørstofindhold!A$2:B$24,2,FALSE),0)</f>
        <v>32099.749216728265</v>
      </c>
      <c r="X219" s="190">
        <f t="shared" si="65"/>
        <v>0</v>
      </c>
      <c r="Y219" s="170">
        <f t="shared" si="60"/>
        <v>0</v>
      </c>
      <c r="Z219" s="103">
        <f t="shared" si="61"/>
        <v>0</v>
      </c>
    </row>
    <row r="220" spans="1:26" hidden="1" x14ac:dyDescent="0.25">
      <c r="A220" s="191" t="str">
        <f t="shared" si="56"/>
        <v>Mælk til foder</v>
      </c>
      <c r="B220" s="191" t="str">
        <f t="shared" si="57"/>
        <v/>
      </c>
      <c r="C220" s="191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1">
        <f t="shared" si="58"/>
        <v>2030</v>
      </c>
      <c r="E220" s="189" t="s">
        <v>24</v>
      </c>
      <c r="F220" s="192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81274.077460835601</v>
      </c>
      <c r="G220" s="192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139990.36425435884</v>
      </c>
      <c r="H220" s="189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2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2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2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2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6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1">
        <f t="shared" si="62"/>
        <v>-58716.286793523235</v>
      </c>
      <c r="O220" s="192">
        <f t="shared" si="59"/>
        <v>0</v>
      </c>
      <c r="P220" s="202">
        <f t="shared" si="63"/>
        <v>0</v>
      </c>
      <c r="Q220" s="189">
        <f>IFERROR(VLOOKUP(A220,[1]Energiindhold!$A$2:$C$11,3,FALSE),IFERROR(VLOOKUP(A220,[1]Biogasudbytte!$A$2:$B$18,2,FALSE)*[1]Energiindhold!$C$10,0))*O220</f>
        <v>0</v>
      </c>
      <c r="R220" s="189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9">
        <f>IFERROR(VLOOKUP(A220,[1]Biogasudbytte!$A$2:$B$18,2,FALSE)*[1]Energiindhold!$C$10,0)*J220*IFERROR(VLOOKUP(A220,Biogasanlæg!$F$3:$G$8,2,FALSE),1)</f>
        <v>0</v>
      </c>
      <c r="T220" s="190">
        <f t="shared" si="64"/>
        <v>0</v>
      </c>
      <c r="U220" s="188">
        <f>O220*IFERROR(VLOOKUP(A220,[1]Tørstofindhold!A$2:B$24,2,FALSE),0)</f>
        <v>0</v>
      </c>
      <c r="V220" s="189">
        <f>IF(D220=År1,P220,SUM(O220,P220))*IFERROR(VLOOKUP(A220,[1]Tørstofindhold!A$2:B$24,2,FALSE),0)</f>
        <v>0</v>
      </c>
      <c r="W220" s="189">
        <f>J220*IFERROR(VLOOKUP(A220,[1]Tørstofindhold!A$2:B$24,2,FALSE),0)</f>
        <v>0</v>
      </c>
      <c r="X220" s="190">
        <f t="shared" si="65"/>
        <v>0</v>
      </c>
      <c r="Y220" s="170">
        <f t="shared" si="60"/>
        <v>1</v>
      </c>
      <c r="Z220" s="103">
        <f t="shared" si="61"/>
        <v>0</v>
      </c>
    </row>
    <row r="221" spans="1:26" hidden="1" x14ac:dyDescent="0.25">
      <c r="A221" s="191" t="str">
        <f t="shared" si="56"/>
        <v>Majs</v>
      </c>
      <c r="B221" s="191" t="str">
        <f t="shared" si="57"/>
        <v>Græs og urter</v>
      </c>
      <c r="C221" s="191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1">
        <f t="shared" si="58"/>
        <v>2030</v>
      </c>
      <c r="E221" s="189" t="s">
        <v>24</v>
      </c>
      <c r="F221" s="192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1200000.8780664324</v>
      </c>
      <c r="G221" s="192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527563.77764006588</v>
      </c>
      <c r="H221" s="189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2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2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2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2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6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1">
        <f t="shared" si="62"/>
        <v>672437.10042636655</v>
      </c>
      <c r="O221" s="192">
        <f t="shared" si="59"/>
        <v>272080.00153552275</v>
      </c>
      <c r="P221" s="202">
        <f t="shared" si="63"/>
        <v>0</v>
      </c>
      <c r="Q221" s="189">
        <f>IFERROR(VLOOKUP(A221,[1]Energiindhold!$A$2:$C$11,3,FALSE),IFERROR(VLOOKUP(A221,[1]Biogasudbytte!$A$2:$B$18,2,FALSE)*[1]Energiindhold!$C$10,0))*O221</f>
        <v>0.97676720551252683</v>
      </c>
      <c r="R221" s="189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0.97676720551252683</v>
      </c>
      <c r="S221" s="189">
        <f>IFERROR(VLOOKUP(A221,[1]Biogasudbytte!$A$2:$B$18,2,FALSE)*[1]Energiindhold!$C$10,0)*J221*IFERROR(VLOOKUP(A221,Biogasanlæg!$F$3:$G$8,2,FALSE),1)</f>
        <v>0</v>
      </c>
      <c r="T221" s="190">
        <f t="shared" si="64"/>
        <v>0.97676720551252683</v>
      </c>
      <c r="U221" s="188">
        <f>O221*IFERROR(VLOOKUP(A221,[1]Tørstofindhold!A$2:B$24,2,FALSE),0)</f>
        <v>81624.000460656825</v>
      </c>
      <c r="V221" s="189">
        <f>IF(D221=År1,P221,SUM(O221,P221))*IFERROR(VLOOKUP(A221,[1]Tørstofindhold!A$2:B$24,2,FALSE),0)</f>
        <v>81624.000460656825</v>
      </c>
      <c r="W221" s="189">
        <f>J221*IFERROR(VLOOKUP(A221,[1]Tørstofindhold!A$2:B$24,2,FALSE),0)</f>
        <v>0</v>
      </c>
      <c r="X221" s="190">
        <f t="shared" si="65"/>
        <v>81624.000460656825</v>
      </c>
      <c r="Y221" s="170">
        <f t="shared" si="60"/>
        <v>0</v>
      </c>
      <c r="Z221" s="103">
        <f t="shared" si="61"/>
        <v>1</v>
      </c>
    </row>
    <row r="222" spans="1:26" hidden="1" x14ac:dyDescent="0.25">
      <c r="A222" s="191" t="str">
        <f t="shared" si="56"/>
        <v>Mejeriprodukter</v>
      </c>
      <c r="B222" s="191" t="str">
        <f t="shared" si="57"/>
        <v/>
      </c>
      <c r="C222" s="191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1">
        <f t="shared" si="58"/>
        <v>2030</v>
      </c>
      <c r="E222" s="189" t="s">
        <v>24</v>
      </c>
      <c r="F222" s="192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156816.78911937549</v>
      </c>
      <c r="G222" s="192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9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2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2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2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2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6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1">
        <f t="shared" si="62"/>
        <v>-252218.64268773838</v>
      </c>
      <c r="O222" s="192">
        <f t="shared" si="59"/>
        <v>0</v>
      </c>
      <c r="P222" s="202">
        <f t="shared" si="63"/>
        <v>0</v>
      </c>
      <c r="Q222" s="189">
        <f>IFERROR(VLOOKUP(A222,[1]Energiindhold!$A$2:$C$11,3,FALSE),IFERROR(VLOOKUP(A222,[1]Biogasudbytte!$A$2:$B$18,2,FALSE)*[1]Energiindhold!$C$10,0))*O222</f>
        <v>0</v>
      </c>
      <c r="R222" s="189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9">
        <f>IFERROR(VLOOKUP(A222,[1]Biogasudbytte!$A$2:$B$18,2,FALSE)*[1]Energiindhold!$C$10,0)*J222*IFERROR(VLOOKUP(A222,Biogasanlæg!$F$3:$G$8,2,FALSE),1)</f>
        <v>0</v>
      </c>
      <c r="T222" s="190">
        <f t="shared" si="64"/>
        <v>0</v>
      </c>
      <c r="U222" s="188">
        <f>O222*IFERROR(VLOOKUP(A222,[1]Tørstofindhold!A$2:B$24,2,FALSE),0)</f>
        <v>0</v>
      </c>
      <c r="V222" s="189">
        <f>IF(D222=År1,P222,SUM(O222,P222))*IFERROR(VLOOKUP(A222,[1]Tørstofindhold!A$2:B$24,2,FALSE),0)</f>
        <v>0</v>
      </c>
      <c r="W222" s="189">
        <f>J222*IFERROR(VLOOKUP(A222,[1]Tørstofindhold!A$2:B$24,2,FALSE),0)</f>
        <v>0</v>
      </c>
      <c r="X222" s="190">
        <f t="shared" si="65"/>
        <v>0</v>
      </c>
      <c r="Y222" s="170">
        <f t="shared" si="60"/>
        <v>0</v>
      </c>
      <c r="Z222" s="103">
        <f t="shared" si="61"/>
        <v>1</v>
      </c>
    </row>
    <row r="223" spans="1:26" hidden="1" x14ac:dyDescent="0.25">
      <c r="A223" s="191" t="str">
        <f t="shared" si="56"/>
        <v>Muslinger</v>
      </c>
      <c r="B223" s="191" t="str">
        <f t="shared" si="57"/>
        <v>Havbiomasse</v>
      </c>
      <c r="C223" s="191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1">
        <f t="shared" si="58"/>
        <v>2030</v>
      </c>
      <c r="E223" s="189" t="s">
        <v>24</v>
      </c>
      <c r="F223" s="192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5405.5586300748464</v>
      </c>
      <c r="G223" s="192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9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2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2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2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2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6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1">
        <f t="shared" si="62"/>
        <v>5405.5586300748464</v>
      </c>
      <c r="O223" s="192">
        <f t="shared" si="59"/>
        <v>5405.5586300748464</v>
      </c>
      <c r="P223" s="202">
        <f t="shared" si="63"/>
        <v>0</v>
      </c>
      <c r="Q223" s="189">
        <f>IFERROR(VLOOKUP(A223,[1]Energiindhold!$A$2:$C$11,3,FALSE),IFERROR(VLOOKUP(A223,[1]Biogasudbytte!$A$2:$B$18,2,FALSE)*[1]Energiindhold!$C$10,0))*O223</f>
        <v>4.851488870492175E-3</v>
      </c>
      <c r="R223" s="189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4.851488870492175E-3</v>
      </c>
      <c r="S223" s="189">
        <f>IFERROR(VLOOKUP(A223,[1]Biogasudbytte!$A$2:$B$18,2,FALSE)*[1]Energiindhold!$C$10,0)*J223*IFERROR(VLOOKUP(A223,Biogasanlæg!$F$3:$G$8,2,FALSE),1)</f>
        <v>0</v>
      </c>
      <c r="T223" s="190">
        <f t="shared" si="64"/>
        <v>4.851488870492175E-3</v>
      </c>
      <c r="U223" s="188">
        <f>O223*IFERROR(VLOOKUP(A223,[1]Tørstofindhold!A$2:B$24,2,FALSE),0)</f>
        <v>810.83379451122698</v>
      </c>
      <c r="V223" s="189">
        <f>IF(D223=År1,P223,SUM(O223,P223))*IFERROR(VLOOKUP(A223,[1]Tørstofindhold!A$2:B$24,2,FALSE),0)</f>
        <v>810.83379451122698</v>
      </c>
      <c r="W223" s="189">
        <f>J223*IFERROR(VLOOKUP(A223,[1]Tørstofindhold!A$2:B$24,2,FALSE),0)</f>
        <v>0</v>
      </c>
      <c r="X223" s="190">
        <f t="shared" si="65"/>
        <v>810.83379451122698</v>
      </c>
      <c r="Y223" s="170">
        <f t="shared" si="60"/>
        <v>0</v>
      </c>
      <c r="Z223" s="103">
        <f t="shared" si="61"/>
        <v>1</v>
      </c>
    </row>
    <row r="224" spans="1:26" hidden="1" x14ac:dyDescent="0.25">
      <c r="A224" s="191" t="str">
        <f t="shared" si="56"/>
        <v>Oksekød</v>
      </c>
      <c r="B224" s="191" t="str">
        <f t="shared" si="57"/>
        <v/>
      </c>
      <c r="C224" s="191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1">
        <f t="shared" si="58"/>
        <v>2030</v>
      </c>
      <c r="E224" s="189" t="s">
        <v>24</v>
      </c>
      <c r="F224" s="192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5083.0525391711781</v>
      </c>
      <c r="G224" s="192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9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2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2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2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2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6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1">
        <f t="shared" si="62"/>
        <v>-36497.514804531289</v>
      </c>
      <c r="O224" s="192">
        <f t="shared" si="59"/>
        <v>0</v>
      </c>
      <c r="P224" s="202">
        <f t="shared" si="63"/>
        <v>0</v>
      </c>
      <c r="Q224" s="189">
        <f>IFERROR(VLOOKUP(A224,[1]Energiindhold!$A$2:$C$11,3,FALSE),IFERROR(VLOOKUP(A224,[1]Biogasudbytte!$A$2:$B$18,2,FALSE)*[1]Energiindhold!$C$10,0))*O224</f>
        <v>0</v>
      </c>
      <c r="R224" s="189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9">
        <f>IFERROR(VLOOKUP(A224,[1]Biogasudbytte!$A$2:$B$18,2,FALSE)*[1]Energiindhold!$C$10,0)*J224*IFERROR(VLOOKUP(A224,Biogasanlæg!$F$3:$G$8,2,FALSE),1)</f>
        <v>0</v>
      </c>
      <c r="T224" s="190">
        <f t="shared" si="64"/>
        <v>0</v>
      </c>
      <c r="U224" s="188">
        <f>O224*IFERROR(VLOOKUP(A224,[1]Tørstofindhold!A$2:B$24,2,FALSE),0)</f>
        <v>0</v>
      </c>
      <c r="V224" s="189">
        <f>IF(D224=År1,P224,SUM(O224,P224))*IFERROR(VLOOKUP(A224,[1]Tørstofindhold!A$2:B$24,2,FALSE),0)</f>
        <v>0</v>
      </c>
      <c r="W224" s="189">
        <f>J224*IFERROR(VLOOKUP(A224,[1]Tørstofindhold!A$2:B$24,2,FALSE),0)</f>
        <v>0</v>
      </c>
      <c r="X224" s="190">
        <f t="shared" si="65"/>
        <v>0</v>
      </c>
      <c r="Y224" s="170">
        <f t="shared" si="60"/>
        <v>1</v>
      </c>
      <c r="Z224" s="103">
        <f t="shared" si="61"/>
        <v>0</v>
      </c>
    </row>
    <row r="225" spans="1:26" hidden="1" x14ac:dyDescent="0.25">
      <c r="A225" s="191" t="str">
        <f t="shared" si="56"/>
        <v>Øvrige</v>
      </c>
      <c r="B225" s="191" t="str">
        <f t="shared" si="57"/>
        <v/>
      </c>
      <c r="C225" s="191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1">
        <f t="shared" si="58"/>
        <v>2030</v>
      </c>
      <c r="E225" s="189" t="s">
        <v>24</v>
      </c>
      <c r="F225" s="192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415381.70094496832</v>
      </c>
      <c r="G225" s="192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9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2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2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2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2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6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1">
        <f t="shared" si="62"/>
        <v>415381.70094496832</v>
      </c>
      <c r="O225" s="192">
        <f t="shared" si="59"/>
        <v>0</v>
      </c>
      <c r="P225" s="202">
        <f t="shared" si="63"/>
        <v>0</v>
      </c>
      <c r="Q225" s="189">
        <f>IFERROR(VLOOKUP(A225,[1]Energiindhold!$A$2:$C$11,3,FALSE),IFERROR(VLOOKUP(A225,[1]Biogasudbytte!$A$2:$B$18,2,FALSE)*[1]Energiindhold!$C$10,0))*O225</f>
        <v>0</v>
      </c>
      <c r="R225" s="189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9">
        <f>IFERROR(VLOOKUP(A225,[1]Biogasudbytte!$A$2:$B$18,2,FALSE)*[1]Energiindhold!$C$10,0)*J225*IFERROR(VLOOKUP(A225,Biogasanlæg!$F$3:$G$8,2,FALSE),1)</f>
        <v>0</v>
      </c>
      <c r="T225" s="190">
        <f t="shared" si="64"/>
        <v>0</v>
      </c>
      <c r="U225" s="188">
        <f>O225*IFERROR(VLOOKUP(A225,[1]Tørstofindhold!A$2:B$24,2,FALSE),0)</f>
        <v>0</v>
      </c>
      <c r="V225" s="189">
        <f>IF(D225=År1,P225,SUM(O225,P225))*IFERROR(VLOOKUP(A225,[1]Tørstofindhold!A$2:B$24,2,FALSE),0)</f>
        <v>0</v>
      </c>
      <c r="W225" s="189">
        <f>J225*IFERROR(VLOOKUP(A225,[1]Tørstofindhold!A$2:B$24,2,FALSE),0)</f>
        <v>0</v>
      </c>
      <c r="X225" s="190">
        <f t="shared" si="65"/>
        <v>0</v>
      </c>
      <c r="Y225" s="170">
        <f t="shared" si="60"/>
        <v>0</v>
      </c>
      <c r="Z225" s="103">
        <f t="shared" si="61"/>
        <v>1</v>
      </c>
    </row>
    <row r="226" spans="1:26" hidden="1" x14ac:dyDescent="0.25">
      <c r="A226" s="191" t="str">
        <f t="shared" si="56"/>
        <v>Pil &amp; poppel</v>
      </c>
      <c r="B226" s="191" t="str">
        <f t="shared" si="57"/>
        <v>Vedmasse</v>
      </c>
      <c r="C226" s="191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1">
        <f t="shared" si="58"/>
        <v>2030</v>
      </c>
      <c r="E226" s="189" t="s">
        <v>24</v>
      </c>
      <c r="F226" s="192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36846.931969416735</v>
      </c>
      <c r="G226" s="192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9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2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2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2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2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36846.931969416735</v>
      </c>
      <c r="M226" s="156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1">
        <f t="shared" si="62"/>
        <v>0</v>
      </c>
      <c r="O226" s="192">
        <f t="shared" si="59"/>
        <v>0</v>
      </c>
      <c r="P226" s="202">
        <f t="shared" si="63"/>
        <v>36846.931969416735</v>
      </c>
      <c r="Q226" s="189">
        <f>IFERROR(VLOOKUP(A226,[1]Energiindhold!$A$2:$C$11,3,FALSE),IFERROR(VLOOKUP(A226,[1]Biogasudbytte!$A$2:$B$18,2,FALSE)*[1]Energiindhold!$C$10,0))*O226</f>
        <v>0</v>
      </c>
      <c r="R226" s="189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0.67798354823726781</v>
      </c>
      <c r="S226" s="189">
        <f>IFERROR(VLOOKUP(A226,[1]Biogasudbytte!$A$2:$B$18,2,FALSE)*[1]Energiindhold!$C$10,0)*J226*IFERROR(VLOOKUP(A226,Biogasanlæg!$F$3:$G$8,2,FALSE),1)</f>
        <v>0</v>
      </c>
      <c r="T226" s="190">
        <f t="shared" si="64"/>
        <v>0.67798354823726781</v>
      </c>
      <c r="U226" s="188">
        <f>O226*IFERROR(VLOOKUP(A226,[1]Tørstofindhold!A$2:B$24,2,FALSE),0)</f>
        <v>0</v>
      </c>
      <c r="V226" s="189">
        <f>IF(D226=År1,P226,SUM(O226,P226))*IFERROR(VLOOKUP(A226,[1]Tørstofindhold!A$2:B$24,2,FALSE),0)</f>
        <v>15291.476767307946</v>
      </c>
      <c r="W226" s="189">
        <f>J226*IFERROR(VLOOKUP(A226,[1]Tørstofindhold!A$2:B$24,2,FALSE),0)</f>
        <v>0</v>
      </c>
      <c r="X226" s="190">
        <f t="shared" si="65"/>
        <v>15291.476767307946</v>
      </c>
      <c r="Y226" s="170">
        <f t="shared" si="60"/>
        <v>0</v>
      </c>
      <c r="Z226" s="103">
        <f t="shared" si="61"/>
        <v>0</v>
      </c>
    </row>
    <row r="227" spans="1:26" hidden="1" x14ac:dyDescent="0.25">
      <c r="A227" s="191" t="str">
        <f t="shared" ref="A227:A228" si="66">A179</f>
        <v>Pyrolysegas</v>
      </c>
      <c r="B227" s="191" t="str">
        <f t="shared" ref="B227:B228" si="67">IF(B179&lt;&gt;"",B179,"")</f>
        <v>Pyrolyseprodukter</v>
      </c>
      <c r="C227" s="191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1">
        <f t="shared" si="58"/>
        <v>2030</v>
      </c>
      <c r="E227" s="189" t="s">
        <v>24</v>
      </c>
      <c r="F227" s="192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220835.85312494458</v>
      </c>
      <c r="G227" s="192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9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2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2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2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2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220835.85312494458</v>
      </c>
      <c r="M227" s="156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1">
        <f t="shared" ref="N227:N228" si="68">F227-SUM(G227:M227)</f>
        <v>0</v>
      </c>
      <c r="O227" s="192">
        <f t="shared" si="59"/>
        <v>0</v>
      </c>
      <c r="P227" s="202">
        <f t="shared" ref="P227:P228" si="69">SUM(J227,L227)</f>
        <v>220835.85312494458</v>
      </c>
      <c r="Q227" s="189">
        <f>IFERROR(VLOOKUP(A227,[1]Energiindhold!$A$2:$C$11,3,FALSE),IFERROR(VLOOKUP(A227,[1]Biogasudbytte!$A$2:$B$18,2,FALSE)*[1]Energiindhold!$C$10,0))*O227</f>
        <v>0</v>
      </c>
      <c r="R227" s="189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1.9790047237896813</v>
      </c>
      <c r="S227" s="189">
        <f>IFERROR(VLOOKUP(A227,[1]Biogasudbytte!$A$2:$B$18,2,FALSE)*[1]Energiindhold!$C$10,0)*J227*IFERROR(VLOOKUP(A227,Biogasanlæg!$F$3:$G$8,2,FALSE),1)</f>
        <v>0</v>
      </c>
      <c r="T227" s="190">
        <f t="shared" ref="T227:T228" si="70">R227-S227</f>
        <v>1.9790047237896813</v>
      </c>
      <c r="U227" s="188">
        <f>O227*IFERROR(VLOOKUP(A227,[1]Tørstofindhold!A$2:B$24,2,FALSE),0)</f>
        <v>0</v>
      </c>
      <c r="V227" s="189">
        <f>IF(D227=År1,P227,SUM(O227,P227))*IFERROR(VLOOKUP(A227,[1]Tørstofindhold!A$2:B$24,2,FALSE),0)</f>
        <v>0</v>
      </c>
      <c r="W227" s="189">
        <f>J227*IFERROR(VLOOKUP(A227,[1]Tørstofindhold!A$2:B$24,2,FALSE),0)</f>
        <v>0</v>
      </c>
      <c r="X227" s="190">
        <f t="shared" ref="X227:X228" si="71">V227-W227</f>
        <v>0</v>
      </c>
      <c r="Y227" s="170">
        <f t="shared" si="60"/>
        <v>0</v>
      </c>
      <c r="Z227" s="103">
        <f t="shared" si="61"/>
        <v>0</v>
      </c>
    </row>
    <row r="228" spans="1:26" hidden="1" x14ac:dyDescent="0.25">
      <c r="A228" s="191" t="str">
        <f t="shared" si="66"/>
        <v>Pyrolyseolie</v>
      </c>
      <c r="B228" s="191" t="str">
        <f t="shared" si="67"/>
        <v>Pyrolyseprodukter</v>
      </c>
      <c r="C228" s="191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1">
        <f t="shared" si="58"/>
        <v>2030</v>
      </c>
      <c r="E228" s="189" t="s">
        <v>24</v>
      </c>
      <c r="F228" s="192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55208.963281236145</v>
      </c>
      <c r="G228" s="192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9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2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2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2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2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55208.963281236145</v>
      </c>
      <c r="M228" s="156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1">
        <f t="shared" si="68"/>
        <v>0</v>
      </c>
      <c r="O228" s="192">
        <f t="shared" si="59"/>
        <v>0</v>
      </c>
      <c r="P228" s="202">
        <f t="shared" si="69"/>
        <v>55208.963281236145</v>
      </c>
      <c r="Q228" s="189">
        <f>IFERROR(VLOOKUP(A228,[1]Energiindhold!$A$2:$C$11,3,FALSE),IFERROR(VLOOKUP(A228,[1]Biogasudbytte!$A$2:$B$18,2,FALSE)*[1]Energiindhold!$C$10,0))*O228</f>
        <v>0</v>
      </c>
      <c r="R228" s="189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1.8367233384191815</v>
      </c>
      <c r="S228" s="189">
        <f>IFERROR(VLOOKUP(A228,[1]Biogasudbytte!$A$2:$B$18,2,FALSE)*[1]Energiindhold!$C$10,0)*J228*IFERROR(VLOOKUP(A228,Biogasanlæg!$F$3:$G$8,2,FALSE),1)</f>
        <v>0</v>
      </c>
      <c r="T228" s="190">
        <f t="shared" si="70"/>
        <v>1.8367233384191815</v>
      </c>
      <c r="U228" s="188">
        <f>O228*IFERROR(VLOOKUP(A228,[1]Tørstofindhold!A$2:B$24,2,FALSE),0)</f>
        <v>0</v>
      </c>
      <c r="V228" s="189">
        <f>IF(D228=År1,P228,SUM(O228,P228))*IFERROR(VLOOKUP(A228,[1]Tørstofindhold!A$2:B$24,2,FALSE),0)</f>
        <v>0</v>
      </c>
      <c r="W228" s="189">
        <f>J228*IFERROR(VLOOKUP(A228,[1]Tørstofindhold!A$2:B$24,2,FALSE),0)</f>
        <v>0</v>
      </c>
      <c r="X228" s="190">
        <f t="shared" si="71"/>
        <v>0</v>
      </c>
      <c r="Y228" s="170">
        <f t="shared" si="60"/>
        <v>0</v>
      </c>
      <c r="Z228" s="103">
        <f t="shared" si="61"/>
        <v>0</v>
      </c>
    </row>
    <row r="229" spans="1:26" hidden="1" x14ac:dyDescent="0.25">
      <c r="A229" s="191" t="str">
        <f t="shared" ref="A229:A274" si="72">A181</f>
        <v>Råmælk</v>
      </c>
      <c r="B229" s="191" t="str">
        <f t="shared" ref="B229:B274" si="73">IF(B181&lt;&gt;"",B181,"")</f>
        <v/>
      </c>
      <c r="C229" s="191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1">
        <f t="shared" si="58"/>
        <v>2030</v>
      </c>
      <c r="E229" s="189" t="s">
        <v>24</v>
      </c>
      <c r="F229" s="192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244195.7605950883</v>
      </c>
      <c r="G229" s="192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9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2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2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2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2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6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1">
        <f t="shared" si="62"/>
        <v>244195.7605950883</v>
      </c>
      <c r="O229" s="192">
        <f t="shared" si="59"/>
        <v>0</v>
      </c>
      <c r="P229" s="202">
        <f t="shared" si="63"/>
        <v>0</v>
      </c>
      <c r="Q229" s="189">
        <f>IFERROR(VLOOKUP(A229,[1]Energiindhold!$A$2:$C$11,3,FALSE),IFERROR(VLOOKUP(A229,[1]Biogasudbytte!$A$2:$B$18,2,FALSE)*[1]Energiindhold!$C$10,0))*O229</f>
        <v>0</v>
      </c>
      <c r="R229" s="189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9">
        <f>IFERROR(VLOOKUP(A229,[1]Biogasudbytte!$A$2:$B$18,2,FALSE)*[1]Energiindhold!$C$10,0)*J229*IFERROR(VLOOKUP(A229,Biogasanlæg!$F$3:$G$8,2,FALSE),1)</f>
        <v>0</v>
      </c>
      <c r="T229" s="190">
        <f t="shared" si="64"/>
        <v>0</v>
      </c>
      <c r="U229" s="188">
        <f>O229*IFERROR(VLOOKUP(A229,[1]Tørstofindhold!A$2:B$24,2,FALSE),0)</f>
        <v>0</v>
      </c>
      <c r="V229" s="189">
        <f>IF(D229=År1,P229,SUM(O229,P229))*IFERROR(VLOOKUP(A229,[1]Tørstofindhold!A$2:B$24,2,FALSE),0)</f>
        <v>0</v>
      </c>
      <c r="W229" s="189">
        <f>J229*IFERROR(VLOOKUP(A229,[1]Tørstofindhold!A$2:B$24,2,FALSE),0)</f>
        <v>0</v>
      </c>
      <c r="X229" s="190">
        <f t="shared" si="65"/>
        <v>0</v>
      </c>
      <c r="Y229" s="170">
        <f t="shared" si="60"/>
        <v>0</v>
      </c>
      <c r="Z229" s="103">
        <f t="shared" si="61"/>
        <v>1</v>
      </c>
    </row>
    <row r="230" spans="1:26" hidden="1" x14ac:dyDescent="0.25">
      <c r="A230" s="191" t="str">
        <f t="shared" si="72"/>
        <v>Raps</v>
      </c>
      <c r="B230" s="191" t="str">
        <f t="shared" si="73"/>
        <v/>
      </c>
      <c r="C230" s="191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1">
        <f t="shared" si="58"/>
        <v>2030</v>
      </c>
      <c r="E230" s="189" t="s">
        <v>24</v>
      </c>
      <c r="F230" s="192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197553.12898229909</v>
      </c>
      <c r="G230" s="192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9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2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2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2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2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6">
        <f>SUMIFS('Forbrug af biomasse'!E:E,'Forbrug af biomasse'!C:C,'Resultat-Produktion &amp; forbrug'!$A230,'Forbrug af biomasse'!D:D,'Resultat-Produktion &amp; forbrug'!$D230,'Forbrug af biomasse'!G:G,1,'Forbrug af biomasse'!B:B,$E230)</f>
        <v>197553.12898229909</v>
      </c>
      <c r="N230" s="201">
        <f t="shared" si="62"/>
        <v>0</v>
      </c>
      <c r="O230" s="192">
        <f t="shared" si="59"/>
        <v>0</v>
      </c>
      <c r="P230" s="202">
        <f t="shared" si="63"/>
        <v>0</v>
      </c>
      <c r="Q230" s="189">
        <f>IFERROR(VLOOKUP(A230,[1]Energiindhold!$A$2:$C$11,3,FALSE),IFERROR(VLOOKUP(A230,[1]Biogasudbytte!$A$2:$B$18,2,FALSE)*[1]Energiindhold!$C$10,0))*O230</f>
        <v>0</v>
      </c>
      <c r="R230" s="189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9">
        <f>IFERROR(VLOOKUP(A230,[1]Biogasudbytte!$A$2:$B$18,2,FALSE)*[1]Energiindhold!$C$10,0)*J230*IFERROR(VLOOKUP(A230,Biogasanlæg!$F$3:$G$8,2,FALSE),1)</f>
        <v>0</v>
      </c>
      <c r="T230" s="190">
        <f t="shared" si="64"/>
        <v>0</v>
      </c>
      <c r="U230" s="188">
        <f>O230*IFERROR(VLOOKUP(A230,[1]Tørstofindhold!A$2:B$24,2,FALSE),0)</f>
        <v>0</v>
      </c>
      <c r="V230" s="189">
        <f>IF(D230=År1,P230,SUM(O230,P230))*IFERROR(VLOOKUP(A230,[1]Tørstofindhold!A$2:B$24,2,FALSE),0)</f>
        <v>0</v>
      </c>
      <c r="W230" s="189">
        <f>J230*IFERROR(VLOOKUP(A230,[1]Tørstofindhold!A$2:B$24,2,FALSE),0)</f>
        <v>0</v>
      </c>
      <c r="X230" s="190">
        <f t="shared" si="65"/>
        <v>0</v>
      </c>
      <c r="Y230" s="170">
        <f t="shared" si="60"/>
        <v>0</v>
      </c>
      <c r="Z230" s="103">
        <f t="shared" si="61"/>
        <v>0</v>
      </c>
    </row>
    <row r="231" spans="1:26" hidden="1" x14ac:dyDescent="0.25">
      <c r="A231" s="191" t="str">
        <f t="shared" si="72"/>
        <v>Rapskage</v>
      </c>
      <c r="B231" s="191" t="str">
        <f t="shared" si="73"/>
        <v/>
      </c>
      <c r="C231" s="191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1">
        <f t="shared" si="58"/>
        <v>2030</v>
      </c>
      <c r="E231" s="189" t="s">
        <v>24</v>
      </c>
      <c r="F231" s="192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98776.564491149547</v>
      </c>
      <c r="G231" s="192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40122.455344582697</v>
      </c>
      <c r="H231" s="189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2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2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2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2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6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1">
        <f t="shared" si="62"/>
        <v>58654.109146566851</v>
      </c>
      <c r="O231" s="192">
        <f t="shared" si="59"/>
        <v>0</v>
      </c>
      <c r="P231" s="202">
        <f t="shared" si="63"/>
        <v>0</v>
      </c>
      <c r="Q231" s="189">
        <f>IFERROR(VLOOKUP(A231,[1]Energiindhold!$A$2:$C$11,3,FALSE),IFERROR(VLOOKUP(A231,[1]Biogasudbytte!$A$2:$B$18,2,FALSE)*[1]Energiindhold!$C$10,0))*O231</f>
        <v>0</v>
      </c>
      <c r="R231" s="189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9">
        <f>IFERROR(VLOOKUP(A231,[1]Biogasudbytte!$A$2:$B$18,2,FALSE)*[1]Energiindhold!$C$10,0)*J231*IFERROR(VLOOKUP(A231,Biogasanlæg!$F$3:$G$8,2,FALSE),1)</f>
        <v>0</v>
      </c>
      <c r="T231" s="190">
        <f t="shared" si="64"/>
        <v>0</v>
      </c>
      <c r="U231" s="188">
        <f>O231*IFERROR(VLOOKUP(A231,[1]Tørstofindhold!A$2:B$24,2,FALSE),0)</f>
        <v>0</v>
      </c>
      <c r="V231" s="189">
        <f>IF(D231=År1,P231,SUM(O231,P231))*IFERROR(VLOOKUP(A231,[1]Tørstofindhold!A$2:B$24,2,FALSE),0)</f>
        <v>0</v>
      </c>
      <c r="W231" s="189">
        <f>J231*IFERROR(VLOOKUP(A231,[1]Tørstofindhold!A$2:B$24,2,FALSE),0)</f>
        <v>0</v>
      </c>
      <c r="X231" s="190">
        <f t="shared" si="65"/>
        <v>0</v>
      </c>
      <c r="Y231" s="170">
        <f t="shared" si="60"/>
        <v>0</v>
      </c>
      <c r="Z231" s="103">
        <f t="shared" si="61"/>
        <v>1</v>
      </c>
    </row>
    <row r="232" spans="1:26" hidden="1" x14ac:dyDescent="0.25">
      <c r="A232" s="191" t="str">
        <f t="shared" si="72"/>
        <v>Rapsolie</v>
      </c>
      <c r="B232" s="191" t="str">
        <f t="shared" si="73"/>
        <v>Rapsolie</v>
      </c>
      <c r="C232" s="191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1">
        <f t="shared" si="58"/>
        <v>2030</v>
      </c>
      <c r="E232" s="189" t="s">
        <v>24</v>
      </c>
      <c r="F232" s="192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63217.001274335715</v>
      </c>
      <c r="G232" s="192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9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2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2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2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2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63217.001274335715</v>
      </c>
      <c r="M232" s="156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1">
        <f t="shared" si="62"/>
        <v>0</v>
      </c>
      <c r="O232" s="192">
        <f t="shared" si="59"/>
        <v>0</v>
      </c>
      <c r="P232" s="202">
        <f t="shared" si="63"/>
        <v>63217.001274335715</v>
      </c>
      <c r="Q232" s="189">
        <f>IFERROR(VLOOKUP(A232,[1]Energiindhold!$A$2:$C$11,3,FALSE),IFERROR(VLOOKUP(A232,[1]Biogasudbytte!$A$2:$B$18,2,FALSE)*[1]Energiindhold!$C$10,0))*O232</f>
        <v>0</v>
      </c>
      <c r="R232" s="189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2.2125950446017497</v>
      </c>
      <c r="S232" s="189">
        <f>IFERROR(VLOOKUP(A232,[1]Biogasudbytte!$A$2:$B$18,2,FALSE)*[1]Energiindhold!$C$10,0)*J232*IFERROR(VLOOKUP(A232,Biogasanlæg!$F$3:$G$8,2,FALSE),1)</f>
        <v>0</v>
      </c>
      <c r="T232" s="190">
        <f t="shared" si="64"/>
        <v>2.2125950446017497</v>
      </c>
      <c r="U232" s="188">
        <f>O232*IFERROR(VLOOKUP(A232,[1]Tørstofindhold!A$2:B$24,2,FALSE),0)</f>
        <v>0</v>
      </c>
      <c r="V232" s="189">
        <f>IF(D232=År1,P232,SUM(O232,P232))*IFERROR(VLOOKUP(A232,[1]Tørstofindhold!A$2:B$24,2,FALSE),0)</f>
        <v>0</v>
      </c>
      <c r="W232" s="189">
        <f>J232*IFERROR(VLOOKUP(A232,[1]Tørstofindhold!A$2:B$24,2,FALSE),0)</f>
        <v>0</v>
      </c>
      <c r="X232" s="190">
        <f t="shared" si="65"/>
        <v>0</v>
      </c>
      <c r="Y232" s="170">
        <f t="shared" si="60"/>
        <v>0</v>
      </c>
      <c r="Z232" s="103">
        <f t="shared" si="61"/>
        <v>0</v>
      </c>
    </row>
    <row r="233" spans="1:26" hidden="1" x14ac:dyDescent="0.25">
      <c r="A233" s="191" t="str">
        <f t="shared" si="72"/>
        <v>Roer</v>
      </c>
      <c r="B233" s="191" t="str">
        <f t="shared" si="73"/>
        <v>Græs og urter</v>
      </c>
      <c r="C233" s="191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1">
        <f t="shared" si="58"/>
        <v>2030</v>
      </c>
      <c r="E233" s="189" t="s">
        <v>24</v>
      </c>
      <c r="F233" s="192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207966.66020436856</v>
      </c>
      <c r="G233" s="192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80504.889625609634</v>
      </c>
      <c r="H233" s="189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2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2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2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2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6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1">
        <f t="shared" si="62"/>
        <v>127461.77057875892</v>
      </c>
      <c r="O233" s="192">
        <f t="shared" si="59"/>
        <v>87842.254782762393</v>
      </c>
      <c r="P233" s="202">
        <f t="shared" si="63"/>
        <v>0</v>
      </c>
      <c r="Q233" s="189">
        <f>IFERROR(VLOOKUP(A233,[1]Energiindhold!$A$2:$C$11,3,FALSE),IFERROR(VLOOKUP(A233,[1]Biogasudbytte!$A$2:$B$18,2,FALSE)*[1]Energiindhold!$C$10,0))*O233</f>
        <v>0.23840739317060844</v>
      </c>
      <c r="R233" s="189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0.23840739317060844</v>
      </c>
      <c r="S233" s="189">
        <f>IFERROR(VLOOKUP(A233,[1]Biogasudbytte!$A$2:$B$18,2,FALSE)*[1]Energiindhold!$C$10,0)*J233*IFERROR(VLOOKUP(A233,Biogasanlæg!$F$3:$G$8,2,FALSE),1)</f>
        <v>0</v>
      </c>
      <c r="T233" s="190">
        <f t="shared" si="64"/>
        <v>0.23840739317060844</v>
      </c>
      <c r="U233" s="188">
        <f>O233*IFERROR(VLOOKUP(A233,[1]Tørstofindhold!A$2:B$24,2,FALSE),0)</f>
        <v>17568.450956552479</v>
      </c>
      <c r="V233" s="189">
        <f>IF(D233=År1,P233,SUM(O233,P233))*IFERROR(VLOOKUP(A233,[1]Tørstofindhold!A$2:B$24,2,FALSE),0)</f>
        <v>17568.450956552479</v>
      </c>
      <c r="W233" s="189">
        <f>J233*IFERROR(VLOOKUP(A233,[1]Tørstofindhold!A$2:B$24,2,FALSE),0)</f>
        <v>0</v>
      </c>
      <c r="X233" s="190">
        <f t="shared" si="65"/>
        <v>17568.450956552479</v>
      </c>
      <c r="Y233" s="170">
        <f t="shared" si="60"/>
        <v>0</v>
      </c>
      <c r="Z233" s="103">
        <f t="shared" si="61"/>
        <v>1</v>
      </c>
    </row>
    <row r="234" spans="1:26" hidden="1" x14ac:dyDescent="0.25">
      <c r="A234" s="191" t="str">
        <f t="shared" si="72"/>
        <v>Slagteriaffald til andet</v>
      </c>
      <c r="B234" s="191" t="str">
        <f t="shared" si="73"/>
        <v/>
      </c>
      <c r="C234" s="191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1">
        <f t="shared" si="58"/>
        <v>2030</v>
      </c>
      <c r="E234" s="189" t="s">
        <v>24</v>
      </c>
      <c r="F234" s="192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14364.232197867042</v>
      </c>
      <c r="G234" s="192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9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2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2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2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2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6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1">
        <f t="shared" si="62"/>
        <v>14364.232197867042</v>
      </c>
      <c r="O234" s="192">
        <f t="shared" si="59"/>
        <v>0</v>
      </c>
      <c r="P234" s="202">
        <f t="shared" si="63"/>
        <v>0</v>
      </c>
      <c r="Q234" s="189">
        <f>IFERROR(VLOOKUP(A234,[1]Energiindhold!$A$2:$C$11,3,FALSE),IFERROR(VLOOKUP(A234,[1]Biogasudbytte!$A$2:$B$18,2,FALSE)*[1]Energiindhold!$C$10,0))*O234</f>
        <v>0</v>
      </c>
      <c r="R234" s="189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9">
        <f>IFERROR(VLOOKUP(A234,[1]Biogasudbytte!$A$2:$B$18,2,FALSE)*[1]Energiindhold!$C$10,0)*J234*IFERROR(VLOOKUP(A234,Biogasanlæg!$F$3:$G$8,2,FALSE),1)</f>
        <v>0</v>
      </c>
      <c r="T234" s="190">
        <f t="shared" si="64"/>
        <v>0</v>
      </c>
      <c r="U234" s="188">
        <f>O234*IFERROR(VLOOKUP(A234,[1]Tørstofindhold!A$2:B$24,2,FALSE),0)</f>
        <v>0</v>
      </c>
      <c r="V234" s="189">
        <f>IF(D234=År1,P234,SUM(O234,P234))*IFERROR(VLOOKUP(A234,[1]Tørstofindhold!A$2:B$24,2,FALSE),0)</f>
        <v>0</v>
      </c>
      <c r="W234" s="189">
        <f>J234*IFERROR(VLOOKUP(A234,[1]Tørstofindhold!A$2:B$24,2,FALSE),0)</f>
        <v>0</v>
      </c>
      <c r="X234" s="190">
        <f t="shared" si="65"/>
        <v>0</v>
      </c>
      <c r="Y234" s="170">
        <f t="shared" si="60"/>
        <v>0</v>
      </c>
      <c r="Z234" s="103">
        <f t="shared" si="61"/>
        <v>1</v>
      </c>
    </row>
    <row r="235" spans="1:26" hidden="1" x14ac:dyDescent="0.25">
      <c r="A235" s="191" t="str">
        <f t="shared" si="72"/>
        <v>Slagteriaffald til foder</v>
      </c>
      <c r="B235" s="191" t="str">
        <f t="shared" si="73"/>
        <v/>
      </c>
      <c r="C235" s="191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1">
        <f t="shared" si="58"/>
        <v>2030</v>
      </c>
      <c r="E235" s="189" t="s">
        <v>24</v>
      </c>
      <c r="F235" s="192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11493.411931478344</v>
      </c>
      <c r="G235" s="192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3566.5638002400005</v>
      </c>
      <c r="H235" s="189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2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2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2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2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6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1">
        <f t="shared" si="62"/>
        <v>7926.8481312383428</v>
      </c>
      <c r="O235" s="192">
        <f t="shared" si="59"/>
        <v>0</v>
      </c>
      <c r="P235" s="202">
        <f t="shared" si="63"/>
        <v>0</v>
      </c>
      <c r="Q235" s="189">
        <f>IFERROR(VLOOKUP(A235,[1]Energiindhold!$A$2:$C$11,3,FALSE),IFERROR(VLOOKUP(A235,[1]Biogasudbytte!$A$2:$B$18,2,FALSE)*[1]Energiindhold!$C$10,0))*O235</f>
        <v>0</v>
      </c>
      <c r="R235" s="189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9">
        <f>IFERROR(VLOOKUP(A235,[1]Biogasudbytte!$A$2:$B$18,2,FALSE)*[1]Energiindhold!$C$10,0)*J235*IFERROR(VLOOKUP(A235,Biogasanlæg!$F$3:$G$8,2,FALSE),1)</f>
        <v>0</v>
      </c>
      <c r="T235" s="190">
        <f t="shared" si="64"/>
        <v>0</v>
      </c>
      <c r="U235" s="188">
        <f>O235*IFERROR(VLOOKUP(A235,[1]Tørstofindhold!A$2:B$24,2,FALSE),0)</f>
        <v>0</v>
      </c>
      <c r="V235" s="189">
        <f>IF(D235=År1,P235,SUM(O235,P235))*IFERROR(VLOOKUP(A235,[1]Tørstofindhold!A$2:B$24,2,FALSE),0)</f>
        <v>0</v>
      </c>
      <c r="W235" s="189">
        <f>J235*IFERROR(VLOOKUP(A235,[1]Tørstofindhold!A$2:B$24,2,FALSE),0)</f>
        <v>0</v>
      </c>
      <c r="X235" s="190">
        <f t="shared" si="65"/>
        <v>0</v>
      </c>
      <c r="Y235" s="170">
        <f t="shared" si="60"/>
        <v>0</v>
      </c>
      <c r="Z235" s="103">
        <f t="shared" si="61"/>
        <v>1</v>
      </c>
    </row>
    <row r="236" spans="1:26" hidden="1" x14ac:dyDescent="0.25">
      <c r="A236" s="191" t="str">
        <f t="shared" si="72"/>
        <v>Spildevandsslam</v>
      </c>
      <c r="B236" s="191" t="str">
        <f t="shared" si="73"/>
        <v>Bionedbrydeligt affald</v>
      </c>
      <c r="C236" s="191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1">
        <f t="shared" si="58"/>
        <v>2030</v>
      </c>
      <c r="E236" s="189" t="s">
        <v>24</v>
      </c>
      <c r="F236" s="192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3341504.9573106756</v>
      </c>
      <c r="G236" s="192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9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2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2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2171978.2222519391</v>
      </c>
      <c r="K236" s="192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2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6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1">
        <f t="shared" si="62"/>
        <v>1169526.7350587365</v>
      </c>
      <c r="O236" s="192">
        <f t="shared" si="59"/>
        <v>1169526.7350587365</v>
      </c>
      <c r="P236" s="202">
        <f t="shared" si="63"/>
        <v>2171978.2222519391</v>
      </c>
      <c r="Q236" s="189">
        <f>IFERROR(VLOOKUP(A236,[1]Energiindhold!$A$2:$C$11,3,FALSE),IFERROR(VLOOKUP(A236,[1]Biogasudbytte!$A$2:$B$18,2,FALSE)*[1]Energiindhold!$C$10,0))*O236</f>
        <v>0.58360553606166021</v>
      </c>
      <c r="R236" s="189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1.6674443887476005</v>
      </c>
      <c r="S236" s="189">
        <f>IFERROR(VLOOKUP(A236,[1]Biogasudbytte!$A$2:$B$18,2,FALSE)*[1]Energiindhold!$C$10,0)*J236*IFERROR(VLOOKUP(A236,Biogasanlæg!$F$3:$G$8,2,FALSE),1)</f>
        <v>1.0838388526859404</v>
      </c>
      <c r="T236" s="190">
        <f t="shared" si="64"/>
        <v>0.5836055360616601</v>
      </c>
      <c r="U236" s="188">
        <f>O236*IFERROR(VLOOKUP(A236,[1]Tørstofindhold!A$2:B$24,2,FALSE),0)</f>
        <v>70171.604103524194</v>
      </c>
      <c r="V236" s="189">
        <f>IF(D236=År1,P236,SUM(O236,P236))*IFERROR(VLOOKUP(A236,[1]Tørstofindhold!A$2:B$24,2,FALSE),0)</f>
        <v>200490.29743864053</v>
      </c>
      <c r="W236" s="189">
        <f>J236*IFERROR(VLOOKUP(A236,[1]Tørstofindhold!A$2:B$24,2,FALSE),0)</f>
        <v>130318.69333511635</v>
      </c>
      <c r="X236" s="190">
        <f t="shared" si="65"/>
        <v>70171.60410352418</v>
      </c>
      <c r="Y236" s="170">
        <f t="shared" si="60"/>
        <v>0</v>
      </c>
      <c r="Z236" s="103">
        <f t="shared" si="61"/>
        <v>1</v>
      </c>
    </row>
    <row r="237" spans="1:26" hidden="1" x14ac:dyDescent="0.25">
      <c r="A237" s="191" t="str">
        <f t="shared" si="72"/>
        <v>Svinegylle</v>
      </c>
      <c r="B237" s="191" t="str">
        <f t="shared" si="73"/>
        <v>Husdyrgødning</v>
      </c>
      <c r="C237" s="191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1">
        <f t="shared" si="58"/>
        <v>2030</v>
      </c>
      <c r="E237" s="189" t="s">
        <v>24</v>
      </c>
      <c r="F237" s="192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1221968.9528231884</v>
      </c>
      <c r="G237" s="192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9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2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2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794279.81933507253</v>
      </c>
      <c r="K237" s="192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427689.13348811591</v>
      </c>
      <c r="L237" s="192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6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1">
        <f t="shared" si="62"/>
        <v>0</v>
      </c>
      <c r="O237" s="192">
        <f t="shared" si="59"/>
        <v>0</v>
      </c>
      <c r="P237" s="202">
        <f t="shared" si="63"/>
        <v>794279.81933507253</v>
      </c>
      <c r="Q237" s="189">
        <f>IFERROR(VLOOKUP(A237,[1]Energiindhold!$A$2:$C$11,3,FALSE),IFERROR(VLOOKUP(A237,[1]Biogasudbytte!$A$2:$B$18,2,FALSE)*[1]Energiindhold!$C$10,0))*O237</f>
        <v>0</v>
      </c>
      <c r="R237" s="189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0.34217574616954932</v>
      </c>
      <c r="S237" s="189">
        <f>IFERROR(VLOOKUP(A237,[1]Biogasudbytte!$A$2:$B$18,2,FALSE)*[1]Energiindhold!$C$10,0)*J237*IFERROR(VLOOKUP(A237,Biogasanlæg!$F$3:$G$8,2,FALSE),1)</f>
        <v>0.34217574616954932</v>
      </c>
      <c r="T237" s="190">
        <f t="shared" si="64"/>
        <v>0</v>
      </c>
      <c r="U237" s="188">
        <f>O237*IFERROR(VLOOKUP(A237,[1]Tørstofindhold!A$2:B$24,2,FALSE),0)</f>
        <v>0</v>
      </c>
      <c r="V237" s="189">
        <f>IF(D237=År1,P237,SUM(O237,P237))*IFERROR(VLOOKUP(A237,[1]Tørstofindhold!A$2:B$24,2,FALSE),0)</f>
        <v>39713.990966753627</v>
      </c>
      <c r="W237" s="189">
        <f>J237*IFERROR(VLOOKUP(A237,[1]Tørstofindhold!A$2:B$24,2,FALSE),0)</f>
        <v>39713.990966753627</v>
      </c>
      <c r="X237" s="190">
        <f t="shared" si="65"/>
        <v>0</v>
      </c>
      <c r="Y237" s="170">
        <f t="shared" si="60"/>
        <v>0</v>
      </c>
      <c r="Z237" s="103">
        <f t="shared" si="61"/>
        <v>0</v>
      </c>
    </row>
    <row r="238" spans="1:26" hidden="1" x14ac:dyDescent="0.25">
      <c r="A238" s="191" t="str">
        <f t="shared" si="72"/>
        <v>Svinekød</v>
      </c>
      <c r="B238" s="191" t="str">
        <f t="shared" si="73"/>
        <v/>
      </c>
      <c r="C238" s="191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1">
        <f t="shared" si="58"/>
        <v>2030</v>
      </c>
      <c r="E238" s="189" t="s">
        <v>24</v>
      </c>
      <c r="F238" s="192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125224.44549527422</v>
      </c>
      <c r="G238" s="192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9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2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2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2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2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6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1">
        <f t="shared" si="62"/>
        <v>40803.293615635877</v>
      </c>
      <c r="O238" s="192">
        <f t="shared" si="59"/>
        <v>0</v>
      </c>
      <c r="P238" s="202">
        <f t="shared" si="63"/>
        <v>0</v>
      </c>
      <c r="Q238" s="189">
        <f>IFERROR(VLOOKUP(A238,[1]Energiindhold!$A$2:$C$11,3,FALSE),IFERROR(VLOOKUP(A238,[1]Biogasudbytte!$A$2:$B$18,2,FALSE)*[1]Energiindhold!$C$10,0))*O238</f>
        <v>0</v>
      </c>
      <c r="R238" s="189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9">
        <f>IFERROR(VLOOKUP(A238,[1]Biogasudbytte!$A$2:$B$18,2,FALSE)*[1]Energiindhold!$C$10,0)*J238*IFERROR(VLOOKUP(A238,Biogasanlæg!$F$3:$G$8,2,FALSE),1)</f>
        <v>0</v>
      </c>
      <c r="T238" s="190">
        <f t="shared" si="64"/>
        <v>0</v>
      </c>
      <c r="U238" s="188">
        <f>O238*IFERROR(VLOOKUP(A238,[1]Tørstofindhold!A$2:B$24,2,FALSE),0)</f>
        <v>0</v>
      </c>
      <c r="V238" s="189">
        <f>IF(D238=År1,P238,SUM(O238,P238))*IFERROR(VLOOKUP(A238,[1]Tørstofindhold!A$2:B$24,2,FALSE),0)</f>
        <v>0</v>
      </c>
      <c r="W238" s="189">
        <f>J238*IFERROR(VLOOKUP(A238,[1]Tørstofindhold!A$2:B$24,2,FALSE),0)</f>
        <v>0</v>
      </c>
      <c r="X238" s="190">
        <f t="shared" si="65"/>
        <v>0</v>
      </c>
      <c r="Y238" s="170">
        <f t="shared" si="60"/>
        <v>0</v>
      </c>
      <c r="Z238" s="103">
        <f t="shared" si="61"/>
        <v>1</v>
      </c>
    </row>
    <row r="239" spans="1:26" hidden="1" x14ac:dyDescent="0.25">
      <c r="A239" s="191" t="str">
        <f t="shared" si="72"/>
        <v>Tang</v>
      </c>
      <c r="B239" s="191" t="str">
        <f t="shared" si="73"/>
        <v>Havbiomasse</v>
      </c>
      <c r="C239" s="191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1">
        <f t="shared" si="58"/>
        <v>2030</v>
      </c>
      <c r="E239" s="189" t="s">
        <v>24</v>
      </c>
      <c r="F239" s="192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450</v>
      </c>
      <c r="G239" s="192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9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2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2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2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2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6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1">
        <f t="shared" si="62"/>
        <v>450</v>
      </c>
      <c r="O239" s="192">
        <f t="shared" si="59"/>
        <v>450</v>
      </c>
      <c r="P239" s="202">
        <f t="shared" si="63"/>
        <v>0</v>
      </c>
      <c r="Q239" s="189">
        <f>IFERROR(VLOOKUP(A239,[1]Energiindhold!$A$2:$C$11,3,FALSE),IFERROR(VLOOKUP(A239,[1]Biogasudbytte!$A$2:$B$18,2,FALSE)*[1]Energiindhold!$C$10,0))*O239</f>
        <v>4.0387500000000005E-4</v>
      </c>
      <c r="R239" s="189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4.0387500000000005E-4</v>
      </c>
      <c r="S239" s="189">
        <f>IFERROR(VLOOKUP(A239,[1]Biogasudbytte!$A$2:$B$18,2,FALSE)*[1]Energiindhold!$C$10,0)*J239*IFERROR(VLOOKUP(A239,Biogasanlæg!$F$3:$G$8,2,FALSE),1)</f>
        <v>0</v>
      </c>
      <c r="T239" s="190">
        <f t="shared" si="64"/>
        <v>4.0387500000000005E-4</v>
      </c>
      <c r="U239" s="188">
        <f>O239*IFERROR(VLOOKUP(A239,[1]Tørstofindhold!A$2:B$24,2,FALSE),0)</f>
        <v>67.5</v>
      </c>
      <c r="V239" s="189">
        <f>IF(D239=År1,P239,SUM(O239,P239))*IFERROR(VLOOKUP(A239,[1]Tørstofindhold!A$2:B$24,2,FALSE),0)</f>
        <v>67.5</v>
      </c>
      <c r="W239" s="189">
        <f>J239*IFERROR(VLOOKUP(A239,[1]Tørstofindhold!A$2:B$24,2,FALSE),0)</f>
        <v>0</v>
      </c>
      <c r="X239" s="190">
        <f t="shared" si="65"/>
        <v>67.5</v>
      </c>
      <c r="Y239" s="170">
        <f t="shared" si="60"/>
        <v>0</v>
      </c>
      <c r="Z239" s="103">
        <f t="shared" si="61"/>
        <v>1</v>
      </c>
    </row>
    <row r="240" spans="1:26" hidden="1" x14ac:dyDescent="0.25">
      <c r="A240" s="191" t="str">
        <f t="shared" si="72"/>
        <v>Total til biogas</v>
      </c>
      <c r="B240" s="191" t="str">
        <f t="shared" si="73"/>
        <v/>
      </c>
      <c r="C240" s="191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1">
        <f t="shared" si="58"/>
        <v>2030</v>
      </c>
      <c r="E240" s="189" t="s">
        <v>24</v>
      </c>
      <c r="F240" s="192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2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9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2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2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2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2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6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1">
        <f t="shared" si="62"/>
        <v>0</v>
      </c>
      <c r="O240" s="192">
        <f t="shared" si="59"/>
        <v>0</v>
      </c>
      <c r="P240" s="202">
        <f t="shared" si="63"/>
        <v>0</v>
      </c>
      <c r="Q240" s="189">
        <f>IFERROR(VLOOKUP(A240,[1]Energiindhold!$A$2:$C$11,3,FALSE),IFERROR(VLOOKUP(A240,[1]Biogasudbytte!$A$2:$B$18,2,FALSE)*[1]Energiindhold!$C$10,0))*O240</f>
        <v>0</v>
      </c>
      <c r="R240" s="189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9">
        <f>IFERROR(VLOOKUP(A240,[1]Biogasudbytte!$A$2:$B$18,2,FALSE)*[1]Energiindhold!$C$10,0)*J240*IFERROR(VLOOKUP(A240,Biogasanlæg!$F$3:$G$8,2,FALSE),1)</f>
        <v>0</v>
      </c>
      <c r="T240" s="190">
        <f t="shared" si="64"/>
        <v>0</v>
      </c>
      <c r="U240" s="188">
        <f>O240*IFERROR(VLOOKUP(A240,[1]Tørstofindhold!A$2:B$24,2,FALSE),0)</f>
        <v>0</v>
      </c>
      <c r="V240" s="189">
        <f>IF(D240=År1,P240,SUM(O240,P240))*IFERROR(VLOOKUP(A240,[1]Tørstofindhold!A$2:B$24,2,FALSE),0)</f>
        <v>0</v>
      </c>
      <c r="W240" s="189">
        <f>J240*IFERROR(VLOOKUP(A240,[1]Tørstofindhold!A$2:B$24,2,FALSE),0)</f>
        <v>0</v>
      </c>
      <c r="X240" s="190">
        <f t="shared" si="65"/>
        <v>0</v>
      </c>
      <c r="Y240" s="170">
        <f t="shared" si="60"/>
        <v>0</v>
      </c>
      <c r="Z240" s="103">
        <f t="shared" si="61"/>
        <v>0</v>
      </c>
    </row>
    <row r="241" spans="1:26" hidden="1" x14ac:dyDescent="0.25">
      <c r="A241" s="191" t="str">
        <f t="shared" si="72"/>
        <v>Træ til energi</v>
      </c>
      <c r="B241" s="191" t="str">
        <f t="shared" si="73"/>
        <v>Vedmasse</v>
      </c>
      <c r="C241" s="191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1">
        <f t="shared" si="58"/>
        <v>2030</v>
      </c>
      <c r="E241" s="189" t="s">
        <v>24</v>
      </c>
      <c r="F241" s="192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647935.48316961934</v>
      </c>
      <c r="G241" s="192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9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2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2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2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2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647935.48316961934</v>
      </c>
      <c r="M241" s="156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1">
        <f t="shared" si="62"/>
        <v>0</v>
      </c>
      <c r="O241" s="192">
        <f t="shared" si="59"/>
        <v>0</v>
      </c>
      <c r="P241" s="202">
        <f t="shared" si="63"/>
        <v>647935.48316961934</v>
      </c>
      <c r="Q241" s="189">
        <f>IFERROR(VLOOKUP(A241,[1]Energiindhold!$A$2:$C$11,3,FALSE),IFERROR(VLOOKUP(A241,[1]Biogasudbytte!$A$2:$B$18,2,FALSE)*[1]Energiindhold!$C$10,0))*O241</f>
        <v>0</v>
      </c>
      <c r="R241" s="189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9.3908975685760261</v>
      </c>
      <c r="S241" s="189">
        <f>IFERROR(VLOOKUP(A241,[1]Biogasudbytte!$A$2:$B$18,2,FALSE)*[1]Energiindhold!$C$10,0)*J241*IFERROR(VLOOKUP(A241,Biogasanlæg!$F$3:$G$8,2,FALSE),1)</f>
        <v>0</v>
      </c>
      <c r="T241" s="190">
        <f t="shared" si="64"/>
        <v>9.3908975685760261</v>
      </c>
      <c r="U241" s="188">
        <f>O241*IFERROR(VLOOKUP(A241,[1]Tørstofindhold!A$2:B$24,2,FALSE),0)</f>
        <v>0</v>
      </c>
      <c r="V241" s="189">
        <f>IF(D241=År1,P241,SUM(O241,P241))*IFERROR(VLOOKUP(A241,[1]Tørstofindhold!A$2:B$24,2,FALSE),0)</f>
        <v>320458.09105097421</v>
      </c>
      <c r="W241" s="189">
        <f>J241*IFERROR(VLOOKUP(A241,[1]Tørstofindhold!A$2:B$24,2,FALSE),0)</f>
        <v>0</v>
      </c>
      <c r="X241" s="190">
        <f t="shared" si="65"/>
        <v>320458.09105097421</v>
      </c>
      <c r="Y241" s="170">
        <f t="shared" si="60"/>
        <v>0</v>
      </c>
      <c r="Z241" s="103">
        <f t="shared" si="61"/>
        <v>0</v>
      </c>
    </row>
    <row r="242" spans="1:26" hidden="1" x14ac:dyDescent="0.25">
      <c r="A242" s="191" t="str">
        <f t="shared" si="72"/>
        <v>Træmaterialer</v>
      </c>
      <c r="B242" s="191" t="str">
        <f t="shared" si="73"/>
        <v/>
      </c>
      <c r="C242" s="191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1">
        <f t="shared" si="58"/>
        <v>2030</v>
      </c>
      <c r="E242" s="189" t="s">
        <v>24</v>
      </c>
      <c r="F242" s="192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178333.04788774872</v>
      </c>
      <c r="G242" s="192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9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2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2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2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2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6">
        <f>SUMIFS('Forbrug af biomasse'!E:E,'Forbrug af biomasse'!C:C,'Resultat-Produktion &amp; forbrug'!$A242,'Forbrug af biomasse'!D:D,'Resultat-Produktion &amp; forbrug'!$D242,'Forbrug af biomasse'!G:G,1,'Forbrug af biomasse'!B:B,$E242)</f>
        <v>178333.04788774872</v>
      </c>
      <c r="N242" s="201">
        <f t="shared" si="62"/>
        <v>0</v>
      </c>
      <c r="O242" s="192">
        <f t="shared" si="59"/>
        <v>0</v>
      </c>
      <c r="P242" s="202">
        <f t="shared" si="63"/>
        <v>0</v>
      </c>
      <c r="Q242" s="189">
        <f>IFERROR(VLOOKUP(A242,[1]Energiindhold!$A$2:$C$11,3,FALSE),IFERROR(VLOOKUP(A242,[1]Biogasudbytte!$A$2:$B$18,2,FALSE)*[1]Energiindhold!$C$10,0))*O242</f>
        <v>0</v>
      </c>
      <c r="R242" s="189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9">
        <f>IFERROR(VLOOKUP(A242,[1]Biogasudbytte!$A$2:$B$18,2,FALSE)*[1]Energiindhold!$C$10,0)*J242*IFERROR(VLOOKUP(A242,Biogasanlæg!$F$3:$G$8,2,FALSE),1)</f>
        <v>0</v>
      </c>
      <c r="T242" s="190">
        <f t="shared" si="64"/>
        <v>0</v>
      </c>
      <c r="U242" s="188">
        <f>O242*IFERROR(VLOOKUP(A242,[1]Tørstofindhold!A$2:B$24,2,FALSE),0)</f>
        <v>0</v>
      </c>
      <c r="V242" s="189">
        <f>IF(D242=År1,P242,SUM(O242,P242))*IFERROR(VLOOKUP(A242,[1]Tørstofindhold!A$2:B$24,2,FALSE),0)</f>
        <v>0</v>
      </c>
      <c r="W242" s="189">
        <f>J242*IFERROR(VLOOKUP(A242,[1]Tørstofindhold!A$2:B$24,2,FALSE),0)</f>
        <v>0</v>
      </c>
      <c r="X242" s="190">
        <f t="shared" si="65"/>
        <v>0</v>
      </c>
      <c r="Y242" s="170">
        <f t="shared" si="60"/>
        <v>0</v>
      </c>
      <c r="Z242" s="103">
        <f t="shared" si="61"/>
        <v>0</v>
      </c>
    </row>
    <row r="243" spans="1:26" hidden="1" x14ac:dyDescent="0.25">
      <c r="A243" s="191" t="str">
        <f t="shared" si="72"/>
        <v>Æg</v>
      </c>
      <c r="B243" s="191" t="str">
        <f t="shared" si="73"/>
        <v/>
      </c>
      <c r="C243" s="191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1">
        <f t="shared" ref="D243:D281" si="74">År3</f>
        <v>2050</v>
      </c>
      <c r="E243" s="189" t="s">
        <v>24</v>
      </c>
      <c r="F243" s="192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14014.619015001228</v>
      </c>
      <c r="G243" s="192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9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2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2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2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2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6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1">
        <f t="shared" si="62"/>
        <v>-15517.383005100726</v>
      </c>
      <c r="O243" s="192">
        <f t="shared" si="59"/>
        <v>0</v>
      </c>
      <c r="P243" s="202">
        <f t="shared" si="63"/>
        <v>0</v>
      </c>
      <c r="Q243" s="189">
        <f>IFERROR(VLOOKUP(A243,[1]Energiindhold!$A$2:$C$11,3,FALSE),IFERROR(VLOOKUP(A243,[1]Biogasudbytte!$A$2:$B$18,2,FALSE)*[1]Energiindhold!$C$10,0))*O243</f>
        <v>0</v>
      </c>
      <c r="R243" s="189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9">
        <f>IFERROR(VLOOKUP(A243,[1]Biogasudbytte!$A$2:$B$18,2,FALSE)*[1]Energiindhold!$C$10,0)*J243*IFERROR(VLOOKUP(A243,Biogasanlæg!$F$3:$G$8,2,FALSE),1)</f>
        <v>0</v>
      </c>
      <c r="T243" s="190">
        <f t="shared" si="64"/>
        <v>0</v>
      </c>
      <c r="U243" s="188">
        <f>O243*IFERROR(VLOOKUP(A243,[1]Tørstofindhold!A$2:B$24,2,FALSE),0)</f>
        <v>0</v>
      </c>
      <c r="V243" s="189">
        <f>IF(D243=År1,P243,SUM(O243,P243))*IFERROR(VLOOKUP(A243,[1]Tørstofindhold!A$2:B$24,2,FALSE),0)</f>
        <v>0</v>
      </c>
      <c r="W243" s="189">
        <f>J243*IFERROR(VLOOKUP(A243,[1]Tørstofindhold!A$2:B$24,2,FALSE),0)</f>
        <v>0</v>
      </c>
      <c r="X243" s="190">
        <f t="shared" si="65"/>
        <v>0</v>
      </c>
      <c r="Y243" s="170">
        <f t="shared" si="60"/>
        <v>0</v>
      </c>
      <c r="Z243" s="103">
        <f t="shared" si="61"/>
        <v>1</v>
      </c>
    </row>
    <row r="244" spans="1:26" hidden="1" x14ac:dyDescent="0.25">
      <c r="A244" s="191" t="str">
        <f t="shared" si="72"/>
        <v>Bælgsæd</v>
      </c>
      <c r="B244" s="191" t="str">
        <f t="shared" si="73"/>
        <v/>
      </c>
      <c r="C244" s="191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1">
        <f t="shared" si="74"/>
        <v>2050</v>
      </c>
      <c r="E244" s="189" t="s">
        <v>24</v>
      </c>
      <c r="F244" s="192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184820.54051860346</v>
      </c>
      <c r="G244" s="192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0</v>
      </c>
      <c r="H244" s="189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2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98440.006733673188</v>
      </c>
      <c r="J244" s="192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2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2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6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1">
        <f t="shared" si="62"/>
        <v>86380.533784930274</v>
      </c>
      <c r="O244" s="192">
        <f t="shared" si="59"/>
        <v>0</v>
      </c>
      <c r="P244" s="202">
        <f t="shared" si="63"/>
        <v>0</v>
      </c>
      <c r="Q244" s="189">
        <f>IFERROR(VLOOKUP(A244,[1]Energiindhold!$A$2:$C$11,3,FALSE),IFERROR(VLOOKUP(A244,[1]Biogasudbytte!$A$2:$B$18,2,FALSE)*[1]Energiindhold!$C$10,0))*O244</f>
        <v>0</v>
      </c>
      <c r="R244" s="189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9">
        <f>IFERROR(VLOOKUP(A244,[1]Biogasudbytte!$A$2:$B$18,2,FALSE)*[1]Energiindhold!$C$10,0)*J244*IFERROR(VLOOKUP(A244,Biogasanlæg!$F$3:$G$8,2,FALSE),1)</f>
        <v>0</v>
      </c>
      <c r="T244" s="190">
        <f t="shared" si="64"/>
        <v>0</v>
      </c>
      <c r="U244" s="188">
        <f>O244*IFERROR(VLOOKUP(A244,[1]Tørstofindhold!A$2:B$24,2,FALSE),0)</f>
        <v>0</v>
      </c>
      <c r="V244" s="189">
        <f>IF(D244=År1,P244,SUM(O244,P244))*IFERROR(VLOOKUP(A244,[1]Tørstofindhold!A$2:B$24,2,FALSE),0)</f>
        <v>0</v>
      </c>
      <c r="W244" s="189">
        <f>J244*IFERROR(VLOOKUP(A244,[1]Tørstofindhold!A$2:B$24,2,FALSE),0)</f>
        <v>0</v>
      </c>
      <c r="X244" s="190">
        <f t="shared" si="65"/>
        <v>0</v>
      </c>
      <c r="Y244" s="170">
        <f t="shared" si="60"/>
        <v>0</v>
      </c>
      <c r="Z244" s="103">
        <f t="shared" si="61"/>
        <v>1</v>
      </c>
    </row>
    <row r="245" spans="1:26" hidden="1" x14ac:dyDescent="0.25">
      <c r="A245" s="191" t="str">
        <f t="shared" si="72"/>
        <v>Bioaffald</v>
      </c>
      <c r="B245" s="191" t="str">
        <f t="shared" si="73"/>
        <v>Bionedbrydeligt affald</v>
      </c>
      <c r="C245" s="191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1">
        <f t="shared" si="74"/>
        <v>2050</v>
      </c>
      <c r="E245" s="189" t="s">
        <v>24</v>
      </c>
      <c r="F245" s="192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183136.50029390544</v>
      </c>
      <c r="G245" s="192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9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2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2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172292.76645701905</v>
      </c>
      <c r="K245" s="192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2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10843.733836886386</v>
      </c>
      <c r="M245" s="156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1">
        <f t="shared" ca="1" si="62"/>
        <v>0</v>
      </c>
      <c r="O245" s="192">
        <f t="shared" ca="1" si="59"/>
        <v>0</v>
      </c>
      <c r="P245" s="202">
        <f t="shared" ca="1" si="63"/>
        <v>183136.50029390544</v>
      </c>
      <c r="Q245" s="189">
        <f ca="1">IFERROR(VLOOKUP(A245,[1]Energiindhold!$A$2:$C$11,3,FALSE),IFERROR(VLOOKUP(A245,[1]Biogasudbytte!$A$2:$B$18,2,FALSE)*[1]Energiindhold!$C$10,0))*O245</f>
        <v>0</v>
      </c>
      <c r="R245" s="189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0.78057067669367108</v>
      </c>
      <c r="S245" s="189">
        <f ca="1">IFERROR(VLOOKUP(A245,[1]Biogasudbytte!$A$2:$B$18,2,FALSE)*[1]Energiindhold!$C$10,0)*J245*IFERROR(VLOOKUP(A245,Biogasanlæg!$F$3:$G$8,2,FALSE),1)</f>
        <v>0.58698594897008294</v>
      </c>
      <c r="T245" s="190">
        <f t="shared" ca="1" si="64"/>
        <v>0.19358472772358815</v>
      </c>
      <c r="U245" s="188">
        <f ca="1">O245*IFERROR(VLOOKUP(A245,[1]Tørstofindhold!A$2:B$24,2,FALSE),0)</f>
        <v>0</v>
      </c>
      <c r="V245" s="189">
        <f ca="1">IF(D245=År1,P245,SUM(O245,P245))*IFERROR(VLOOKUP(A245,[1]Tørstofindhold!A$2:B$24,2,FALSE),0)</f>
        <v>51278.220082293527</v>
      </c>
      <c r="W245" s="189">
        <f ca="1">J245*IFERROR(VLOOKUP(A245,[1]Tørstofindhold!A$2:B$24,2,FALSE),0)</f>
        <v>48241.974607965341</v>
      </c>
      <c r="X245" s="190">
        <f t="shared" ca="1" si="65"/>
        <v>3036.2454743281851</v>
      </c>
      <c r="Y245" s="170">
        <f t="shared" ca="1" si="60"/>
        <v>0</v>
      </c>
      <c r="Z245" s="103">
        <f t="shared" ca="1" si="61"/>
        <v>0</v>
      </c>
    </row>
    <row r="246" spans="1:26" hidden="1" x14ac:dyDescent="0.25">
      <c r="A246" s="191" t="str">
        <f t="shared" si="72"/>
        <v>Biogas</v>
      </c>
      <c r="B246" s="191" t="str">
        <f t="shared" si="73"/>
        <v/>
      </c>
      <c r="C246" s="191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1">
        <f t="shared" si="74"/>
        <v>2050</v>
      </c>
      <c r="E246" s="189" t="s">
        <v>24</v>
      </c>
      <c r="F246" s="192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136916209.63217843</v>
      </c>
      <c r="G246" s="192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9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2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2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2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2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136916209.63217843</v>
      </c>
      <c r="M246" s="156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1">
        <f t="shared" ca="1" si="62"/>
        <v>0</v>
      </c>
      <c r="O246" s="192">
        <f t="shared" ca="1" si="59"/>
        <v>0</v>
      </c>
      <c r="P246" s="202">
        <f t="shared" ca="1" si="63"/>
        <v>136916209.63217843</v>
      </c>
      <c r="Q246" s="189">
        <f ca="1">IFERROR(VLOOKUP(A246,[1]Energiindhold!$A$2:$C$11,3,FALSE),IFERROR(VLOOKUP(A246,[1]Biogasudbytte!$A$2:$B$18,2,FALSE)*[1]Energiindhold!$C$10,0))*O246</f>
        <v>0</v>
      </c>
      <c r="R246" s="189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9">
        <f>IFERROR(VLOOKUP(A246,[1]Biogasudbytte!$A$2:$B$18,2,FALSE)*[1]Energiindhold!$C$10,0)*J246*IFERROR(VLOOKUP(A246,Biogasanlæg!$F$3:$G$8,2,FALSE),1)</f>
        <v>0</v>
      </c>
      <c r="T246" s="190">
        <f t="shared" si="64"/>
        <v>0</v>
      </c>
      <c r="U246" s="188">
        <f ca="1">O246*IFERROR(VLOOKUP(A246,[1]Tørstofindhold!A$2:B$24,2,FALSE),0)</f>
        <v>0</v>
      </c>
      <c r="V246" s="189">
        <f ca="1">IF(D246=År1,P246,SUM(O246,P246))*IFERROR(VLOOKUP(A246,[1]Tørstofindhold!A$2:B$24,2,FALSE),0)</f>
        <v>0</v>
      </c>
      <c r="W246" s="189">
        <f>J246*IFERROR(VLOOKUP(A246,[1]Tørstofindhold!A$2:B$24,2,FALSE),0)</f>
        <v>0</v>
      </c>
      <c r="X246" s="190">
        <f t="shared" ca="1" si="65"/>
        <v>0</v>
      </c>
      <c r="Y246" s="170">
        <f t="shared" ca="1" si="60"/>
        <v>0</v>
      </c>
      <c r="Z246" s="103">
        <f t="shared" ca="1" si="61"/>
        <v>0</v>
      </c>
    </row>
    <row r="247" spans="1:26" hidden="1" x14ac:dyDescent="0.25">
      <c r="A247" s="191" t="str">
        <f t="shared" si="72"/>
        <v>Biogasgylle</v>
      </c>
      <c r="B247" s="191" t="str">
        <f t="shared" si="73"/>
        <v/>
      </c>
      <c r="C247" s="191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1">
        <f t="shared" si="74"/>
        <v>2050</v>
      </c>
      <c r="E247" s="189" t="s">
        <v>24</v>
      </c>
      <c r="F247" s="192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4771810.3476653025</v>
      </c>
      <c r="G247" s="192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9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2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2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2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2772967.1013813135</v>
      </c>
      <c r="L247" s="192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6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1">
        <f t="shared" ca="1" si="62"/>
        <v>1998843.2462839889</v>
      </c>
      <c r="O247" s="192">
        <f t="shared" si="59"/>
        <v>0</v>
      </c>
      <c r="P247" s="202">
        <f t="shared" si="63"/>
        <v>0</v>
      </c>
      <c r="Q247" s="189">
        <f>IFERROR(VLOOKUP(A247,[1]Energiindhold!$A$2:$C$11,3,FALSE),IFERROR(VLOOKUP(A247,[1]Biogasudbytte!$A$2:$B$18,2,FALSE)*[1]Energiindhold!$C$10,0))*O247</f>
        <v>0</v>
      </c>
      <c r="R247" s="189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9">
        <f>IFERROR(VLOOKUP(A247,[1]Biogasudbytte!$A$2:$B$18,2,FALSE)*[1]Energiindhold!$C$10,0)*J247*IFERROR(VLOOKUP(A247,Biogasanlæg!$F$3:$G$8,2,FALSE),1)</f>
        <v>0</v>
      </c>
      <c r="T247" s="190">
        <f t="shared" si="64"/>
        <v>0</v>
      </c>
      <c r="U247" s="188">
        <f>O247*IFERROR(VLOOKUP(A247,[1]Tørstofindhold!A$2:B$24,2,FALSE),0)</f>
        <v>0</v>
      </c>
      <c r="V247" s="189">
        <f>IF(D247=År1,P247,SUM(O247,P247))*IFERROR(VLOOKUP(A247,[1]Tørstofindhold!A$2:B$24,2,FALSE),0)</f>
        <v>0</v>
      </c>
      <c r="W247" s="189">
        <f>J247*IFERROR(VLOOKUP(A247,[1]Tørstofindhold!A$2:B$24,2,FALSE),0)</f>
        <v>0</v>
      </c>
      <c r="X247" s="190">
        <f t="shared" si="65"/>
        <v>0</v>
      </c>
      <c r="Y247" s="170">
        <f t="shared" ca="1" si="60"/>
        <v>0</v>
      </c>
      <c r="Z247" s="103">
        <f t="shared" ca="1" si="61"/>
        <v>1</v>
      </c>
    </row>
    <row r="248" spans="1:26" hidden="1" x14ac:dyDescent="0.25">
      <c r="A248" s="191" t="str">
        <f t="shared" si="72"/>
        <v>Brun saft</v>
      </c>
      <c r="B248" s="191" t="str">
        <f t="shared" si="73"/>
        <v>Bionedbrydeligt affald</v>
      </c>
      <c r="C248" s="191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1">
        <f t="shared" si="74"/>
        <v>2050</v>
      </c>
      <c r="E248" s="189" t="s">
        <v>24</v>
      </c>
      <c r="F248" s="192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182256.22298351699</v>
      </c>
      <c r="G248" s="192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9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2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2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164030.60068516529</v>
      </c>
      <c r="K248" s="192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2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6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1">
        <f t="shared" si="62"/>
        <v>18225.622298351693</v>
      </c>
      <c r="O248" s="192">
        <f t="shared" si="59"/>
        <v>18225.622298351693</v>
      </c>
      <c r="P248" s="202">
        <f t="shared" si="63"/>
        <v>164030.60068516529</v>
      </c>
      <c r="Q248" s="189">
        <f>IFERROR(VLOOKUP(A248,[1]Energiindhold!$A$2:$C$11,3,FALSE),IFERROR(VLOOKUP(A248,[1]Biogasudbytte!$A$2:$B$18,2,FALSE)*[1]Energiindhold!$C$10,0))*O248</f>
        <v>1.0352628733908114E-2</v>
      </c>
      <c r="R248" s="189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0.10352628733908117</v>
      </c>
      <c r="S248" s="189">
        <f>IFERROR(VLOOKUP(A248,[1]Biogasudbytte!$A$2:$B$18,2,FALSE)*[1]Energiindhold!$C$10,0)*J248*IFERROR(VLOOKUP(A248,Biogasanlæg!$F$3:$G$8,2,FALSE),1)</f>
        <v>9.3173658605173057E-2</v>
      </c>
      <c r="T248" s="190">
        <f t="shared" si="64"/>
        <v>1.0352628733908117E-2</v>
      </c>
      <c r="U248" s="188">
        <f>O248*IFERROR(VLOOKUP(A248,[1]Tørstofindhold!A$2:B$24,2,FALSE),0)</f>
        <v>779.38934983874969</v>
      </c>
      <c r="V248" s="189">
        <f>IF(D248=År1,P248,SUM(O248,P248))*IFERROR(VLOOKUP(A248,[1]Tørstofindhold!A$2:B$24,2,FALSE),0)</f>
        <v>7793.8934983874997</v>
      </c>
      <c r="W248" s="189">
        <f>J248*IFERROR(VLOOKUP(A248,[1]Tørstofindhold!A$2:B$24,2,FALSE),0)</f>
        <v>7014.50414854875</v>
      </c>
      <c r="X248" s="190">
        <f t="shared" si="65"/>
        <v>779.38934983874969</v>
      </c>
      <c r="Y248" s="170">
        <f t="shared" si="60"/>
        <v>0</v>
      </c>
      <c r="Z248" s="103">
        <f t="shared" si="61"/>
        <v>1</v>
      </c>
    </row>
    <row r="249" spans="1:26" hidden="1" x14ac:dyDescent="0.25">
      <c r="A249" s="191" t="str">
        <f t="shared" si="72"/>
        <v>Dybstrøelse</v>
      </c>
      <c r="B249" s="191" t="str">
        <f t="shared" si="73"/>
        <v>Husdyrgødning</v>
      </c>
      <c r="C249" s="191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1">
        <f t="shared" si="74"/>
        <v>2050</v>
      </c>
      <c r="E249" s="189" t="s">
        <v>24</v>
      </c>
      <c r="F249" s="192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288933.0377631922</v>
      </c>
      <c r="G249" s="192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9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2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2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260039.73398687298</v>
      </c>
      <c r="K249" s="192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10938.179286749417</v>
      </c>
      <c r="L249" s="192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6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1">
        <f t="shared" si="62"/>
        <v>17955.124489569804</v>
      </c>
      <c r="O249" s="192">
        <f t="shared" si="59"/>
        <v>17955.124489569804</v>
      </c>
      <c r="P249" s="202">
        <f t="shared" si="63"/>
        <v>260039.73398687298</v>
      </c>
      <c r="Q249" s="189">
        <f>IFERROR(VLOOKUP(A249,[1]Energiindhold!$A$2:$C$11,3,FALSE),IFERROR(VLOOKUP(A249,[1]Biogasudbytte!$A$2:$B$18,2,FALSE)*[1]Energiindhold!$C$10,0))*O249</f>
        <v>3.867533815053336E-2</v>
      </c>
      <c r="R249" s="189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0.59880092515825778</v>
      </c>
      <c r="S249" s="189">
        <f>IFERROR(VLOOKUP(A249,[1]Biogasudbytte!$A$2:$B$18,2,FALSE)*[1]Energiindhold!$C$10,0)*J249*IFERROR(VLOOKUP(A249,Biogasanlæg!$F$3:$G$8,2,FALSE),1)</f>
        <v>0.56012558700772441</v>
      </c>
      <c r="T249" s="190">
        <f t="shared" si="64"/>
        <v>3.8675338150533367E-2</v>
      </c>
      <c r="U249" s="188">
        <f>O249*IFERROR(VLOOKUP(A249,[1]Tørstofindhold!A$2:B$24,2,FALSE),0)</f>
        <v>5386.5373468709413</v>
      </c>
      <c r="V249" s="189">
        <f>IF(D249=År1,P249,SUM(O249,P249))*IFERROR(VLOOKUP(A249,[1]Tørstofindhold!A$2:B$24,2,FALSE),0)</f>
        <v>83398.457542932825</v>
      </c>
      <c r="W249" s="189">
        <f>J249*IFERROR(VLOOKUP(A249,[1]Tørstofindhold!A$2:B$24,2,FALSE),0)</f>
        <v>78011.920196061896</v>
      </c>
      <c r="X249" s="190">
        <f t="shared" si="65"/>
        <v>5386.5373468709295</v>
      </c>
      <c r="Y249" s="170">
        <f t="shared" si="60"/>
        <v>0</v>
      </c>
      <c r="Z249" s="103">
        <f t="shared" si="61"/>
        <v>1</v>
      </c>
    </row>
    <row r="250" spans="1:26" hidden="1" x14ac:dyDescent="0.25">
      <c r="A250" s="191" t="str">
        <f t="shared" si="72"/>
        <v>Fiberfraktion</v>
      </c>
      <c r="B250" s="191" t="str">
        <f t="shared" si="73"/>
        <v/>
      </c>
      <c r="C250" s="191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1">
        <f t="shared" si="74"/>
        <v>2050</v>
      </c>
      <c r="E250" s="189" t="s">
        <v>24</v>
      </c>
      <c r="F250" s="192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128370.01056167646</v>
      </c>
      <c r="G250" s="192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128507.27970135745</v>
      </c>
      <c r="H250" s="189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2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2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2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2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6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1">
        <f t="shared" si="62"/>
        <v>-137.26913968098233</v>
      </c>
      <c r="O250" s="192">
        <f t="shared" si="59"/>
        <v>0</v>
      </c>
      <c r="P250" s="202">
        <f t="shared" si="63"/>
        <v>0</v>
      </c>
      <c r="Q250" s="189">
        <f>IFERROR(VLOOKUP(A250,[1]Energiindhold!$A$2:$C$11,3,FALSE),IFERROR(VLOOKUP(A250,[1]Biogasudbytte!$A$2:$B$18,2,FALSE)*[1]Energiindhold!$C$10,0))*O250</f>
        <v>0</v>
      </c>
      <c r="R250" s="189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9">
        <f>IFERROR(VLOOKUP(A250,[1]Biogasudbytte!$A$2:$B$18,2,FALSE)*[1]Energiindhold!$C$10,0)*J250*IFERROR(VLOOKUP(A250,Biogasanlæg!$F$3:$G$8,2,FALSE),1)</f>
        <v>0</v>
      </c>
      <c r="T250" s="190">
        <f t="shared" si="64"/>
        <v>0</v>
      </c>
      <c r="U250" s="188">
        <f>O250*IFERROR(VLOOKUP(A250,[1]Tørstofindhold!A$2:B$24,2,FALSE),0)</f>
        <v>0</v>
      </c>
      <c r="V250" s="189">
        <f>IF(D250=År1,P250,SUM(O250,P250))*IFERROR(VLOOKUP(A250,[1]Tørstofindhold!A$2:B$24,2,FALSE),0)</f>
        <v>0</v>
      </c>
      <c r="W250" s="189">
        <f>J250*IFERROR(VLOOKUP(A250,[1]Tørstofindhold!A$2:B$24,2,FALSE),0)</f>
        <v>0</v>
      </c>
      <c r="X250" s="190">
        <f t="shared" si="65"/>
        <v>0</v>
      </c>
      <c r="Y250" s="170">
        <f t="shared" si="60"/>
        <v>1</v>
      </c>
      <c r="Z250" s="103">
        <f t="shared" si="61"/>
        <v>0</v>
      </c>
    </row>
    <row r="251" spans="1:26" hidden="1" x14ac:dyDescent="0.25">
      <c r="A251" s="191" t="str">
        <f t="shared" si="72"/>
        <v>Fjerkrægylle</v>
      </c>
      <c r="B251" s="191" t="str">
        <f t="shared" si="73"/>
        <v>Husdyrgødning</v>
      </c>
      <c r="C251" s="191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1">
        <f t="shared" si="74"/>
        <v>2050</v>
      </c>
      <c r="E251" s="189" t="s">
        <v>24</v>
      </c>
      <c r="F251" s="192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892.67287590137244</v>
      </c>
      <c r="G251" s="192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9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2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2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803.40558831123519</v>
      </c>
      <c r="K251" s="192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89.267287590137229</v>
      </c>
      <c r="L251" s="192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6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1">
        <f t="shared" si="62"/>
        <v>0</v>
      </c>
      <c r="O251" s="192">
        <f t="shared" si="59"/>
        <v>0</v>
      </c>
      <c r="P251" s="202">
        <f t="shared" si="63"/>
        <v>803.40558831123519</v>
      </c>
      <c r="Q251" s="189">
        <f>IFERROR(VLOOKUP(A251,[1]Energiindhold!$A$2:$C$11,3,FALSE),IFERROR(VLOOKUP(A251,[1]Biogasudbytte!$A$2:$B$18,2,FALSE)*[1]Energiindhold!$C$10,0))*O251</f>
        <v>0</v>
      </c>
      <c r="R251" s="189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3.7783361412689083E-4</v>
      </c>
      <c r="S251" s="189">
        <f>IFERROR(VLOOKUP(A251,[1]Biogasudbytte!$A$2:$B$18,2,FALSE)*[1]Energiindhold!$C$10,0)*J251*IFERROR(VLOOKUP(A251,Biogasanlæg!$F$3:$G$8,2,FALSE),1)</f>
        <v>3.7783361412689083E-4</v>
      </c>
      <c r="T251" s="190">
        <f t="shared" si="64"/>
        <v>0</v>
      </c>
      <c r="U251" s="188">
        <f>O251*IFERROR(VLOOKUP(A251,[1]Tørstofindhold!A$2:B$24,2,FALSE),0)</f>
        <v>0</v>
      </c>
      <c r="V251" s="189">
        <f>IF(D251=År1,P251,SUM(O251,P251))*IFERROR(VLOOKUP(A251,[1]Tørstofindhold!A$2:B$24,2,FALSE),0)</f>
        <v>50.614552063607817</v>
      </c>
      <c r="W251" s="189">
        <f>J251*IFERROR(VLOOKUP(A251,[1]Tørstofindhold!A$2:B$24,2,FALSE),0)</f>
        <v>50.614552063607817</v>
      </c>
      <c r="X251" s="190">
        <f t="shared" si="65"/>
        <v>0</v>
      </c>
      <c r="Y251" s="170">
        <f t="shared" si="60"/>
        <v>0</v>
      </c>
      <c r="Z251" s="103">
        <f t="shared" si="61"/>
        <v>0</v>
      </c>
    </row>
    <row r="252" spans="1:26" hidden="1" x14ac:dyDescent="0.25">
      <c r="A252" s="191" t="str">
        <f t="shared" si="72"/>
        <v>Fjerkrækød</v>
      </c>
      <c r="B252" s="191" t="str">
        <f t="shared" si="73"/>
        <v/>
      </c>
      <c r="C252" s="191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1">
        <f t="shared" si="74"/>
        <v>2050</v>
      </c>
      <c r="E252" s="189" t="s">
        <v>24</v>
      </c>
      <c r="F252" s="192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9620.9199896373884</v>
      </c>
      <c r="G252" s="192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9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2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15996.501094221892</v>
      </c>
      <c r="J252" s="192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2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2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6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1">
        <f t="shared" si="62"/>
        <v>-6375.5811045845039</v>
      </c>
      <c r="O252" s="192">
        <f t="shared" si="59"/>
        <v>0</v>
      </c>
      <c r="P252" s="202">
        <f t="shared" si="63"/>
        <v>0</v>
      </c>
      <c r="Q252" s="189">
        <f>IFERROR(VLOOKUP(A252,[1]Energiindhold!$A$2:$C$11,3,FALSE),IFERROR(VLOOKUP(A252,[1]Biogasudbytte!$A$2:$B$18,2,FALSE)*[1]Energiindhold!$C$10,0))*O252</f>
        <v>0</v>
      </c>
      <c r="R252" s="189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9">
        <f>IFERROR(VLOOKUP(A252,[1]Biogasudbytte!$A$2:$B$18,2,FALSE)*[1]Energiindhold!$C$10,0)*J252*IFERROR(VLOOKUP(A252,Biogasanlæg!$F$3:$G$8,2,FALSE),1)</f>
        <v>0</v>
      </c>
      <c r="T252" s="190">
        <f t="shared" si="64"/>
        <v>0</v>
      </c>
      <c r="U252" s="188">
        <f>O252*IFERROR(VLOOKUP(A252,[1]Tørstofindhold!A$2:B$24,2,FALSE),0)</f>
        <v>0</v>
      </c>
      <c r="V252" s="189">
        <f>IF(D252=År1,P252,SUM(O252,P252))*IFERROR(VLOOKUP(A252,[1]Tørstofindhold!A$2:B$24,2,FALSE),0)</f>
        <v>0</v>
      </c>
      <c r="W252" s="189">
        <f>J252*IFERROR(VLOOKUP(A252,[1]Tørstofindhold!A$2:B$24,2,FALSE),0)</f>
        <v>0</v>
      </c>
      <c r="X252" s="190">
        <f t="shared" si="65"/>
        <v>0</v>
      </c>
      <c r="Y252" s="170">
        <f t="shared" si="60"/>
        <v>0</v>
      </c>
      <c r="Z252" s="103">
        <f t="shared" si="61"/>
        <v>1</v>
      </c>
    </row>
    <row r="253" spans="1:26" hidden="1" x14ac:dyDescent="0.25">
      <c r="A253" s="191" t="str">
        <f t="shared" si="72"/>
        <v>Frø</v>
      </c>
      <c r="B253" s="191" t="str">
        <f t="shared" si="73"/>
        <v/>
      </c>
      <c r="C253" s="191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1">
        <f t="shared" si="74"/>
        <v>2050</v>
      </c>
      <c r="E253" s="189" t="s">
        <v>24</v>
      </c>
      <c r="F253" s="192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244576.33466221322</v>
      </c>
      <c r="G253" s="192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9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2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2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2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2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6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1">
        <f t="shared" si="62"/>
        <v>244576.33466221322</v>
      </c>
      <c r="O253" s="192">
        <f t="shared" si="59"/>
        <v>0</v>
      </c>
      <c r="P253" s="202">
        <f t="shared" si="63"/>
        <v>0</v>
      </c>
      <c r="Q253" s="189">
        <f>IFERROR(VLOOKUP(A253,[1]Energiindhold!$A$2:$C$11,3,FALSE),IFERROR(VLOOKUP(A253,[1]Biogasudbytte!$A$2:$B$18,2,FALSE)*[1]Energiindhold!$C$10,0))*O253</f>
        <v>0</v>
      </c>
      <c r="R253" s="189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9">
        <f>IFERROR(VLOOKUP(A253,[1]Biogasudbytte!$A$2:$B$18,2,FALSE)*[1]Energiindhold!$C$10,0)*J253*IFERROR(VLOOKUP(A253,Biogasanlæg!$F$3:$G$8,2,FALSE),1)</f>
        <v>0</v>
      </c>
      <c r="T253" s="190">
        <f t="shared" si="64"/>
        <v>0</v>
      </c>
      <c r="U253" s="188">
        <f>O253*IFERROR(VLOOKUP(A253,[1]Tørstofindhold!A$2:B$24,2,FALSE),0)</f>
        <v>0</v>
      </c>
      <c r="V253" s="189">
        <f>IF(D253=År1,P253,SUM(O253,P253))*IFERROR(VLOOKUP(A253,[1]Tørstofindhold!A$2:B$24,2,FALSE),0)</f>
        <v>0</v>
      </c>
      <c r="W253" s="189">
        <f>J253*IFERROR(VLOOKUP(A253,[1]Tørstofindhold!A$2:B$24,2,FALSE),0)</f>
        <v>0</v>
      </c>
      <c r="X253" s="190">
        <f t="shared" si="65"/>
        <v>0</v>
      </c>
      <c r="Y253" s="170">
        <f t="shared" si="60"/>
        <v>0</v>
      </c>
      <c r="Z253" s="103">
        <f t="shared" si="61"/>
        <v>1</v>
      </c>
    </row>
    <row r="254" spans="1:26" hidden="1" x14ac:dyDescent="0.25">
      <c r="A254" s="191" t="str">
        <f t="shared" si="72"/>
        <v>Frugt</v>
      </c>
      <c r="B254" s="191" t="str">
        <f t="shared" si="73"/>
        <v/>
      </c>
      <c r="C254" s="191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1">
        <f t="shared" si="74"/>
        <v>2050</v>
      </c>
      <c r="E254" s="189" t="s">
        <v>24</v>
      </c>
      <c r="F254" s="192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35974.29143745116</v>
      </c>
      <c r="G254" s="192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9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2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2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2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2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6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1">
        <f t="shared" si="62"/>
        <v>-197820.72455502267</v>
      </c>
      <c r="O254" s="192">
        <f t="shared" si="59"/>
        <v>0</v>
      </c>
      <c r="P254" s="202">
        <f t="shared" si="63"/>
        <v>0</v>
      </c>
      <c r="Q254" s="189">
        <f>IFERROR(VLOOKUP(A254,[1]Energiindhold!$A$2:$C$11,3,FALSE),IFERROR(VLOOKUP(A254,[1]Biogasudbytte!$A$2:$B$18,2,FALSE)*[1]Energiindhold!$C$10,0))*O254</f>
        <v>0</v>
      </c>
      <c r="R254" s="189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9">
        <f>IFERROR(VLOOKUP(A254,[1]Biogasudbytte!$A$2:$B$18,2,FALSE)*[1]Energiindhold!$C$10,0)*J254*IFERROR(VLOOKUP(A254,Biogasanlæg!$F$3:$G$8,2,FALSE),1)</f>
        <v>0</v>
      </c>
      <c r="T254" s="190">
        <f t="shared" si="64"/>
        <v>0</v>
      </c>
      <c r="U254" s="188">
        <f>O254*IFERROR(VLOOKUP(A254,[1]Tørstofindhold!A$2:B$24,2,FALSE),0)</f>
        <v>0</v>
      </c>
      <c r="V254" s="189">
        <f>IF(D254=År1,P254,SUM(O254,P254))*IFERROR(VLOOKUP(A254,[1]Tørstofindhold!A$2:B$24,2,FALSE),0)</f>
        <v>0</v>
      </c>
      <c r="W254" s="189">
        <f>J254*IFERROR(VLOOKUP(A254,[1]Tørstofindhold!A$2:B$24,2,FALSE),0)</f>
        <v>0</v>
      </c>
      <c r="X254" s="190">
        <f t="shared" si="65"/>
        <v>0</v>
      </c>
      <c r="Y254" s="170">
        <f t="shared" si="60"/>
        <v>1</v>
      </c>
      <c r="Z254" s="103">
        <f t="shared" si="61"/>
        <v>0</v>
      </c>
    </row>
    <row r="255" spans="1:26" hidden="1" x14ac:dyDescent="0.25">
      <c r="A255" s="191" t="str">
        <f t="shared" si="72"/>
        <v>Glycerin</v>
      </c>
      <c r="B255" s="191" t="str">
        <f t="shared" si="73"/>
        <v>Glycerin</v>
      </c>
      <c r="C255" s="191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1">
        <f t="shared" si="74"/>
        <v>2050</v>
      </c>
      <c r="E255" s="189" t="s">
        <v>24</v>
      </c>
      <c r="F255" s="192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2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9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2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2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2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2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6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1">
        <f t="shared" si="62"/>
        <v>-28548.400000000001</v>
      </c>
      <c r="O255" s="192">
        <f t="shared" si="59"/>
        <v>0</v>
      </c>
      <c r="P255" s="202">
        <f t="shared" si="63"/>
        <v>28548.400000000001</v>
      </c>
      <c r="Q255" s="189">
        <f>IFERROR(VLOOKUP(A255,[1]Energiindhold!$A$2:$C$11,3,FALSE),IFERROR(VLOOKUP(A255,[1]Biogasudbytte!$A$2:$B$18,2,FALSE)*[1]Energiindhold!$C$10,0))*O255</f>
        <v>0</v>
      </c>
      <c r="R255" s="189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9">
        <f>IFERROR(VLOOKUP(A255,[1]Biogasudbytte!$A$2:$B$18,2,FALSE)*[1]Energiindhold!$C$10,0)*J255*IFERROR(VLOOKUP(A255,Biogasanlæg!$F$3:$G$8,2,FALSE),1)</f>
        <v>0.43389639740160008</v>
      </c>
      <c r="T255" s="190">
        <f t="shared" si="64"/>
        <v>0</v>
      </c>
      <c r="U255" s="188">
        <f>O255*IFERROR(VLOOKUP(A255,[1]Tørstofindhold!A$2:B$24,2,FALSE),0)</f>
        <v>0</v>
      </c>
      <c r="V255" s="189">
        <f>IF(D255=År1,P255,SUM(O255,P255))*IFERROR(VLOOKUP(A255,[1]Tørstofindhold!A$2:B$24,2,FALSE),0)</f>
        <v>25693.56</v>
      </c>
      <c r="W255" s="189">
        <f>J255*IFERROR(VLOOKUP(A255,[1]Tørstofindhold!A$2:B$24,2,FALSE),0)</f>
        <v>25693.56</v>
      </c>
      <c r="X255" s="190">
        <f t="shared" si="65"/>
        <v>0</v>
      </c>
      <c r="Y255" s="170">
        <f t="shared" si="60"/>
        <v>1</v>
      </c>
      <c r="Z255" s="103">
        <f t="shared" si="61"/>
        <v>0</v>
      </c>
    </row>
    <row r="256" spans="1:26" hidden="1" x14ac:dyDescent="0.25">
      <c r="A256" s="191" t="str">
        <f t="shared" si="72"/>
        <v>Græs</v>
      </c>
      <c r="B256" s="191" t="str">
        <f t="shared" si="73"/>
        <v>Græs og urter</v>
      </c>
      <c r="C256" s="191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1">
        <f t="shared" si="74"/>
        <v>2050</v>
      </c>
      <c r="E256" s="189" t="s">
        <v>24</v>
      </c>
      <c r="F256" s="192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2815303.0196031071</v>
      </c>
      <c r="G256" s="192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771991.75994211878</v>
      </c>
      <c r="H256" s="189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2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2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2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2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6">
        <f>SUMIFS('Forbrug af biomasse'!E:E,'Forbrug af biomasse'!C:C,'Resultat-Produktion &amp; forbrug'!$A256,'Forbrug af biomasse'!D:D,'Resultat-Produktion &amp; forbrug'!$D256,'Forbrug af biomasse'!G:G,1,'Forbrug af biomasse'!B:B,$E256)</f>
        <v>372977.38153229345</v>
      </c>
      <c r="N256" s="201">
        <f t="shared" si="62"/>
        <v>1670333.8781286948</v>
      </c>
      <c r="O256" s="192">
        <f t="shared" si="59"/>
        <v>62104.977447957266</v>
      </c>
      <c r="P256" s="202">
        <f t="shared" si="63"/>
        <v>0</v>
      </c>
      <c r="Q256" s="189">
        <f>IFERROR(VLOOKUP(A256,[1]Energiindhold!$A$2:$C$11,3,FALSE),IFERROR(VLOOKUP(A256,[1]Biogasudbytte!$A$2:$B$18,2,FALSE)*[1]Energiindhold!$C$10,0))*O256</f>
        <v>0.11426539538206038</v>
      </c>
      <c r="R256" s="189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0.11426539538206038</v>
      </c>
      <c r="S256" s="189">
        <f>IFERROR(VLOOKUP(A256,[1]Biogasudbytte!$A$2:$B$18,2,FALSE)*[1]Energiindhold!$C$10,0)*J256*IFERROR(VLOOKUP(A256,Biogasanlæg!$F$3:$G$8,2,FALSE),1)</f>
        <v>0</v>
      </c>
      <c r="T256" s="190">
        <f t="shared" si="64"/>
        <v>0.11426539538206038</v>
      </c>
      <c r="U256" s="188">
        <f>O256*IFERROR(VLOOKUP(A256,[1]Tørstofindhold!A$2:B$24,2,FALSE),0)</f>
        <v>17389.393685428036</v>
      </c>
      <c r="V256" s="189">
        <f>IF(D256=År1,P256,SUM(O256,P256))*IFERROR(VLOOKUP(A256,[1]Tørstofindhold!A$2:B$24,2,FALSE),0)</f>
        <v>17389.393685428036</v>
      </c>
      <c r="W256" s="189">
        <f>J256*IFERROR(VLOOKUP(A256,[1]Tørstofindhold!A$2:B$24,2,FALSE),0)</f>
        <v>0</v>
      </c>
      <c r="X256" s="190">
        <f t="shared" si="65"/>
        <v>17389.393685428036</v>
      </c>
      <c r="Y256" s="170">
        <f t="shared" si="60"/>
        <v>0</v>
      </c>
      <c r="Z256" s="103">
        <f t="shared" si="61"/>
        <v>1</v>
      </c>
    </row>
    <row r="257" spans="1:26" hidden="1" x14ac:dyDescent="0.25">
      <c r="A257" s="191" t="str">
        <f t="shared" si="72"/>
        <v>Græsprotein</v>
      </c>
      <c r="B257" s="191" t="str">
        <f t="shared" si="73"/>
        <v/>
      </c>
      <c r="C257" s="191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1">
        <f t="shared" si="74"/>
        <v>2050</v>
      </c>
      <c r="E257" s="189" t="s">
        <v>24</v>
      </c>
      <c r="F257" s="192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62351.14798709999</v>
      </c>
      <c r="G257" s="192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62351.147987099997</v>
      </c>
      <c r="H257" s="189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2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2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2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2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6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1">
        <f t="shared" si="62"/>
        <v>0</v>
      </c>
      <c r="O257" s="192">
        <f t="shared" si="59"/>
        <v>0</v>
      </c>
      <c r="P257" s="202">
        <f t="shared" si="63"/>
        <v>0</v>
      </c>
      <c r="Q257" s="189">
        <f>IFERROR(VLOOKUP(A257,[1]Energiindhold!$A$2:$C$11,3,FALSE),IFERROR(VLOOKUP(A257,[1]Biogasudbytte!$A$2:$B$18,2,FALSE)*[1]Energiindhold!$C$10,0))*O257</f>
        <v>0</v>
      </c>
      <c r="R257" s="189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9">
        <f>IFERROR(VLOOKUP(A257,[1]Biogasudbytte!$A$2:$B$18,2,FALSE)*[1]Energiindhold!$C$10,0)*J257*IFERROR(VLOOKUP(A257,Biogasanlæg!$F$3:$G$8,2,FALSE),1)</f>
        <v>0</v>
      </c>
      <c r="T257" s="190">
        <f t="shared" si="64"/>
        <v>0</v>
      </c>
      <c r="U257" s="188">
        <f>O257*IFERROR(VLOOKUP(A257,[1]Tørstofindhold!A$2:B$24,2,FALSE),0)</f>
        <v>0</v>
      </c>
      <c r="V257" s="189">
        <f>IF(D257=År1,P257,SUM(O257,P257))*IFERROR(VLOOKUP(A257,[1]Tørstofindhold!A$2:B$24,2,FALSE),0)</f>
        <v>0</v>
      </c>
      <c r="W257" s="189">
        <f>J257*IFERROR(VLOOKUP(A257,[1]Tørstofindhold!A$2:B$24,2,FALSE),0)</f>
        <v>0</v>
      </c>
      <c r="X257" s="190">
        <f t="shared" si="65"/>
        <v>0</v>
      </c>
      <c r="Y257" s="170">
        <f t="shared" si="60"/>
        <v>0</v>
      </c>
      <c r="Z257" s="103">
        <f t="shared" si="61"/>
        <v>0</v>
      </c>
    </row>
    <row r="258" spans="1:26" hidden="1" x14ac:dyDescent="0.25">
      <c r="A258" s="191" t="str">
        <f t="shared" si="72"/>
        <v>Grøntsager</v>
      </c>
      <c r="B258" s="191" t="str">
        <f t="shared" si="73"/>
        <v/>
      </c>
      <c r="C258" s="191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1">
        <f t="shared" si="74"/>
        <v>2050</v>
      </c>
      <c r="E258" s="189" t="s">
        <v>24</v>
      </c>
      <c r="F258" s="192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388219.23407538212</v>
      </c>
      <c r="G258" s="192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9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2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2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2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2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6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1">
        <f t="shared" si="62"/>
        <v>143349.71732537009</v>
      </c>
      <c r="O258" s="192">
        <f t="shared" si="59"/>
        <v>0</v>
      </c>
      <c r="P258" s="202">
        <f t="shared" si="63"/>
        <v>0</v>
      </c>
      <c r="Q258" s="189">
        <f>IFERROR(VLOOKUP(A258,[1]Energiindhold!$A$2:$C$11,3,FALSE),IFERROR(VLOOKUP(A258,[1]Biogasudbytte!$A$2:$B$18,2,FALSE)*[1]Energiindhold!$C$10,0))*O258</f>
        <v>0</v>
      </c>
      <c r="R258" s="189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9">
        <f>IFERROR(VLOOKUP(A258,[1]Biogasudbytte!$A$2:$B$18,2,FALSE)*[1]Energiindhold!$C$10,0)*J258*IFERROR(VLOOKUP(A258,Biogasanlæg!$F$3:$G$8,2,FALSE),1)</f>
        <v>0</v>
      </c>
      <c r="T258" s="190">
        <f t="shared" si="64"/>
        <v>0</v>
      </c>
      <c r="U258" s="188">
        <f>O258*IFERROR(VLOOKUP(A258,[1]Tørstofindhold!A$2:B$24,2,FALSE),0)</f>
        <v>0</v>
      </c>
      <c r="V258" s="189">
        <f>IF(D258=År1,P258,SUM(O258,P258))*IFERROR(VLOOKUP(A258,[1]Tørstofindhold!A$2:B$24,2,FALSE),0)</f>
        <v>0</v>
      </c>
      <c r="W258" s="189">
        <f>J258*IFERROR(VLOOKUP(A258,[1]Tørstofindhold!A$2:B$24,2,FALSE),0)</f>
        <v>0</v>
      </c>
      <c r="X258" s="190">
        <f t="shared" si="65"/>
        <v>0</v>
      </c>
      <c r="Y258" s="170">
        <f t="shared" si="60"/>
        <v>0</v>
      </c>
      <c r="Z258" s="103">
        <f t="shared" si="61"/>
        <v>1</v>
      </c>
    </row>
    <row r="259" spans="1:26" x14ac:dyDescent="0.25">
      <c r="A259" s="191" t="str">
        <f t="shared" si="72"/>
        <v>Halm</v>
      </c>
      <c r="B259" s="191" t="str">
        <f t="shared" si="73"/>
        <v>Halm og strå</v>
      </c>
      <c r="C259" s="191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1">
        <f t="shared" si="74"/>
        <v>2050</v>
      </c>
      <c r="E259" s="189" t="s">
        <v>24</v>
      </c>
      <c r="F259" s="192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948113.41210557171</v>
      </c>
      <c r="G259" s="192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0</v>
      </c>
      <c r="H259" s="189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49764.085742999996</v>
      </c>
      <c r="I259" s="192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2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2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2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190717.92520308075</v>
      </c>
      <c r="M259" s="156">
        <f>SUMIFS('Forbrug af biomasse'!E:E,'Forbrug af biomasse'!C:C,'Resultat-Produktion &amp; forbrug'!$A259,'Forbrug af biomasse'!D:D,'Resultat-Produktion &amp; forbrug'!$D259,'Forbrug af biomasse'!G:G,1,'Forbrug af biomasse'!B:B,$E259)</f>
        <v>707631.40115949092</v>
      </c>
      <c r="N259" s="201">
        <f t="shared" si="62"/>
        <v>0</v>
      </c>
      <c r="O259" s="192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2">
        <f t="shared" si="63"/>
        <v>190717.92520308075</v>
      </c>
      <c r="Q259" s="189">
        <f>IFERROR(VLOOKUP(A259,[1]Energiindhold!$A$2:$C$11,3,FALSE),IFERROR(VLOOKUP(A259,[1]Biogasudbytte!$A$2:$B$18,2,FALSE)*[1]Energiindhold!$C$10,0))*O259</f>
        <v>0</v>
      </c>
      <c r="R259" s="189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1.9712235403005558</v>
      </c>
      <c r="S259" s="189">
        <f>IFERROR(VLOOKUP(A259,[1]Biogasudbytte!$A$2:$B$18,2,FALSE)*[1]Energiindhold!$C$10,0)*J259*IFERROR(VLOOKUP(A259,Biogasanlæg!$F$3:$G$8,2,FALSE),1)</f>
        <v>0</v>
      </c>
      <c r="T259" s="190">
        <f t="shared" si="64"/>
        <v>1.9712235403005558</v>
      </c>
      <c r="U259" s="188">
        <f>O259*IFERROR(VLOOKUP(A259,[1]Tørstofindhold!A$2:B$24,2,FALSE),0)</f>
        <v>0</v>
      </c>
      <c r="V259" s="189">
        <f>IF(D259=År1,P259,SUM(O259,P259))*IFERROR(VLOOKUP(A259,[1]Tørstofindhold!A$2:B$24,2,FALSE),0)</f>
        <v>162110.23642261865</v>
      </c>
      <c r="W259" s="189">
        <f>J259*IFERROR(VLOOKUP(A259,[1]Tørstofindhold!A$2:B$24,2,FALSE),0)</f>
        <v>0</v>
      </c>
      <c r="X259" s="190">
        <f t="shared" si="65"/>
        <v>162110.23642261865</v>
      </c>
      <c r="Y259" s="170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1" t="str">
        <f t="shared" si="72"/>
        <v>Have/parkaffald</v>
      </c>
      <c r="B260" s="191" t="str">
        <f t="shared" si="73"/>
        <v>Bionedbrydeligt affald</v>
      </c>
      <c r="C260" s="191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1">
        <f t="shared" si="74"/>
        <v>2050</v>
      </c>
      <c r="E260" s="189" t="s">
        <v>24</v>
      </c>
      <c r="F260" s="192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2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9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2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2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2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2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6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1">
        <f t="shared" si="62"/>
        <v>0</v>
      </c>
      <c r="O260" s="192">
        <f t="shared" si="75"/>
        <v>0</v>
      </c>
      <c r="P260" s="202">
        <f t="shared" si="63"/>
        <v>457927.02496060182</v>
      </c>
      <c r="Q260" s="189">
        <f>IFERROR(VLOOKUP(A260,[1]Energiindhold!$A$2:$C$11,3,FALSE),IFERROR(VLOOKUP(A260,[1]Biogasudbytte!$A$2:$B$18,2,FALSE)*[1]Energiindhold!$C$10,0))*O260</f>
        <v>0</v>
      </c>
      <c r="R260" s="189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89">
        <f>IFERROR(VLOOKUP(A260,[1]Biogasudbytte!$A$2:$B$18,2,FALSE)*[1]Energiindhold!$C$10,0)*J260*IFERROR(VLOOKUP(A260,Biogasanlæg!$F$3:$G$8,2,FALSE),1)</f>
        <v>0.63295484129660939</v>
      </c>
      <c r="T260" s="190">
        <f t="shared" si="64"/>
        <v>1.520606930474496</v>
      </c>
      <c r="U260" s="188">
        <f>O260*IFERROR(VLOOKUP(A260,[1]Tørstofindhold!A$2:B$24,2,FALSE),0)</f>
        <v>0</v>
      </c>
      <c r="V260" s="189">
        <f>IF(D260=År1,P260,SUM(O260,P260))*IFERROR(VLOOKUP(A260,[1]Tørstofindhold!A$2:B$24,2,FALSE),0)</f>
        <v>137378.10748818054</v>
      </c>
      <c r="W260" s="189">
        <f>J260*IFERROR(VLOOKUP(A260,[1]Tørstofindhold!A$2:B$24,2,FALSE),0)</f>
        <v>111824.86728402409</v>
      </c>
      <c r="X260" s="190">
        <f t="shared" si="65"/>
        <v>25553.240204156449</v>
      </c>
      <c r="Y260" s="170">
        <f t="shared" si="76"/>
        <v>0</v>
      </c>
      <c r="Z260" s="103">
        <f t="shared" si="77"/>
        <v>0</v>
      </c>
    </row>
    <row r="261" spans="1:26" hidden="1" x14ac:dyDescent="0.25">
      <c r="A261" s="191" t="str">
        <f t="shared" si="72"/>
        <v>Import af foder</v>
      </c>
      <c r="B261" s="191" t="str">
        <f t="shared" si="73"/>
        <v/>
      </c>
      <c r="C261" s="191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1">
        <f t="shared" si="74"/>
        <v>2050</v>
      </c>
      <c r="E261" s="189" t="s">
        <v>24</v>
      </c>
      <c r="F261" s="192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2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9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2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2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2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2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6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1">
        <f t="shared" si="62"/>
        <v>0</v>
      </c>
      <c r="O261" s="192">
        <f t="shared" si="75"/>
        <v>0</v>
      </c>
      <c r="P261" s="202">
        <f t="shared" si="63"/>
        <v>0</v>
      </c>
      <c r="Q261" s="189">
        <f>IFERROR(VLOOKUP(A261,[1]Energiindhold!$A$2:$C$11,3,FALSE),IFERROR(VLOOKUP(A261,[1]Biogasudbytte!$A$2:$B$18,2,FALSE)*[1]Energiindhold!$C$10,0))*O261</f>
        <v>0</v>
      </c>
      <c r="R261" s="189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9">
        <f>IFERROR(VLOOKUP(A261,[1]Biogasudbytte!$A$2:$B$18,2,FALSE)*[1]Energiindhold!$C$10,0)*J261*IFERROR(VLOOKUP(A261,Biogasanlæg!$F$3:$G$8,2,FALSE),1)</f>
        <v>0</v>
      </c>
      <c r="T261" s="190">
        <f t="shared" si="64"/>
        <v>0</v>
      </c>
      <c r="U261" s="188">
        <f>O261*IFERROR(VLOOKUP(A261,[1]Tørstofindhold!A$2:B$24,2,FALSE),0)</f>
        <v>0</v>
      </c>
      <c r="V261" s="189">
        <f>IF(D261=År1,P261,SUM(O261,P261))*IFERROR(VLOOKUP(A261,[1]Tørstofindhold!A$2:B$24,2,FALSE),0)</f>
        <v>0</v>
      </c>
      <c r="W261" s="189">
        <f>J261*IFERROR(VLOOKUP(A261,[1]Tørstofindhold!A$2:B$24,2,FALSE),0)</f>
        <v>0</v>
      </c>
      <c r="X261" s="190">
        <f t="shared" si="65"/>
        <v>0</v>
      </c>
      <c r="Y261" s="170">
        <f t="shared" si="76"/>
        <v>0</v>
      </c>
      <c r="Z261" s="103">
        <f t="shared" si="77"/>
        <v>0</v>
      </c>
    </row>
    <row r="262" spans="1:26" hidden="1" x14ac:dyDescent="0.25">
      <c r="A262" s="191" t="str">
        <f t="shared" si="72"/>
        <v>Industriaffald</v>
      </c>
      <c r="B262" s="191" t="str">
        <f t="shared" si="73"/>
        <v>Bionedbrydeligt affald</v>
      </c>
      <c r="C262" s="191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1">
        <f t="shared" si="74"/>
        <v>2050</v>
      </c>
      <c r="E262" s="189" t="s">
        <v>24</v>
      </c>
      <c r="F262" s="192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183784.44874310441</v>
      </c>
      <c r="G262" s="192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9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2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2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172421.96543868803</v>
      </c>
      <c r="K262" s="192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2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6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1">
        <f t="shared" si="62"/>
        <v>11362.483304416382</v>
      </c>
      <c r="O262" s="192">
        <f t="shared" si="75"/>
        <v>11362.483304416382</v>
      </c>
      <c r="P262" s="202">
        <f t="shared" si="63"/>
        <v>172421.96543868803</v>
      </c>
      <c r="Q262" s="189">
        <f>IFERROR(VLOOKUP(A262,[1]Energiindhold!$A$2:$C$11,3,FALSE),IFERROR(VLOOKUP(A262,[1]Biogasudbytte!$A$2:$B$18,2,FALSE)*[1]Energiindhold!$C$10,0))*O262</f>
        <v>4.9235117280865763E-2</v>
      </c>
      <c r="R262" s="189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0.68429288971700675</v>
      </c>
      <c r="S262" s="189">
        <f>IFERROR(VLOOKUP(A262,[1]Biogasudbytte!$A$2:$B$18,2,FALSE)*[1]Energiindhold!$C$10,0)*J262*IFERROR(VLOOKUP(A262,Biogasanlæg!$F$3:$G$8,2,FALSE),1)</f>
        <v>0.63505777243614103</v>
      </c>
      <c r="T262" s="190">
        <f t="shared" si="64"/>
        <v>4.9235117280865714E-2</v>
      </c>
      <c r="U262" s="188">
        <f>O262*IFERROR(VLOOKUP(A262,[1]Tørstofindhold!A$2:B$24,2,FALSE),0)</f>
        <v>4772.2429878548801</v>
      </c>
      <c r="V262" s="189">
        <f>IF(D262=År1,P262,SUM(O262,P262))*IFERROR(VLOOKUP(A262,[1]Tørstofindhold!A$2:B$24,2,FALSE),0)</f>
        <v>77189.46847210385</v>
      </c>
      <c r="W262" s="189">
        <f>J262*IFERROR(VLOOKUP(A262,[1]Tørstofindhold!A$2:B$24,2,FALSE),0)</f>
        <v>72417.225484248964</v>
      </c>
      <c r="X262" s="190">
        <f t="shared" si="65"/>
        <v>4772.2429878548865</v>
      </c>
      <c r="Y262" s="170">
        <f t="shared" si="76"/>
        <v>0</v>
      </c>
      <c r="Z262" s="103">
        <f t="shared" si="77"/>
        <v>1</v>
      </c>
    </row>
    <row r="263" spans="1:26" hidden="1" x14ac:dyDescent="0.25">
      <c r="A263" s="191" t="str">
        <f t="shared" si="72"/>
        <v>Juletræer</v>
      </c>
      <c r="B263" s="191" t="str">
        <f t="shared" si="73"/>
        <v/>
      </c>
      <c r="C263" s="191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1">
        <f t="shared" si="74"/>
        <v>2050</v>
      </c>
      <c r="E263" s="189" t="s">
        <v>24</v>
      </c>
      <c r="F263" s="192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160738.91424393514</v>
      </c>
      <c r="G263" s="192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9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2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2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2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2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6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1">
        <f t="shared" si="62"/>
        <v>160738.91424393514</v>
      </c>
      <c r="O263" s="192">
        <f t="shared" si="75"/>
        <v>0</v>
      </c>
      <c r="P263" s="202">
        <f t="shared" si="63"/>
        <v>0</v>
      </c>
      <c r="Q263" s="189">
        <f>IFERROR(VLOOKUP(A263,[1]Energiindhold!$A$2:$C$11,3,FALSE),IFERROR(VLOOKUP(A263,[1]Biogasudbytte!$A$2:$B$18,2,FALSE)*[1]Energiindhold!$C$10,0))*O263</f>
        <v>0</v>
      </c>
      <c r="R263" s="189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9">
        <f>IFERROR(VLOOKUP(A263,[1]Biogasudbytte!$A$2:$B$18,2,FALSE)*[1]Energiindhold!$C$10,0)*J263*IFERROR(VLOOKUP(A263,Biogasanlæg!$F$3:$G$8,2,FALSE),1)</f>
        <v>0</v>
      </c>
      <c r="T263" s="190">
        <f t="shared" si="64"/>
        <v>0</v>
      </c>
      <c r="U263" s="188">
        <f>O263*IFERROR(VLOOKUP(A263,[1]Tørstofindhold!A$2:B$24,2,FALSE),0)</f>
        <v>0</v>
      </c>
      <c r="V263" s="189">
        <f>IF(D263=År1,P263,SUM(O263,P263))*IFERROR(VLOOKUP(A263,[1]Tørstofindhold!A$2:B$24,2,FALSE),0)</f>
        <v>0</v>
      </c>
      <c r="W263" s="189">
        <f>J263*IFERROR(VLOOKUP(A263,[1]Tørstofindhold!A$2:B$24,2,FALSE),0)</f>
        <v>0</v>
      </c>
      <c r="X263" s="190">
        <f t="shared" si="65"/>
        <v>0</v>
      </c>
      <c r="Y263" s="170">
        <f t="shared" si="76"/>
        <v>0</v>
      </c>
      <c r="Z263" s="103">
        <f t="shared" si="77"/>
        <v>1</v>
      </c>
    </row>
    <row r="264" spans="1:26" hidden="1" x14ac:dyDescent="0.25">
      <c r="A264" s="191" t="str">
        <f t="shared" si="72"/>
        <v>Kartofler</v>
      </c>
      <c r="B264" s="191" t="str">
        <f t="shared" si="73"/>
        <v/>
      </c>
      <c r="C264" s="191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1">
        <f t="shared" si="74"/>
        <v>2050</v>
      </c>
      <c r="E264" s="189" t="s">
        <v>24</v>
      </c>
      <c r="F264" s="192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539879.99665096425</v>
      </c>
      <c r="G264" s="192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9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2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2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2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2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6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1">
        <f t="shared" si="62"/>
        <v>427904.488991411</v>
      </c>
      <c r="O264" s="192">
        <f t="shared" si="75"/>
        <v>0</v>
      </c>
      <c r="P264" s="202">
        <f t="shared" si="63"/>
        <v>0</v>
      </c>
      <c r="Q264" s="189">
        <f>IFERROR(VLOOKUP(A264,[1]Energiindhold!$A$2:$C$11,3,FALSE),IFERROR(VLOOKUP(A264,[1]Biogasudbytte!$A$2:$B$18,2,FALSE)*[1]Energiindhold!$C$10,0))*O264</f>
        <v>0</v>
      </c>
      <c r="R264" s="189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9">
        <f>IFERROR(VLOOKUP(A264,[1]Biogasudbytte!$A$2:$B$18,2,FALSE)*[1]Energiindhold!$C$10,0)*J264*IFERROR(VLOOKUP(A264,Biogasanlæg!$F$3:$G$8,2,FALSE),1)</f>
        <v>0</v>
      </c>
      <c r="T264" s="190">
        <f t="shared" si="64"/>
        <v>0</v>
      </c>
      <c r="U264" s="188">
        <f>O264*IFERROR(VLOOKUP(A264,[1]Tørstofindhold!A$2:B$24,2,FALSE),0)</f>
        <v>0</v>
      </c>
      <c r="V264" s="189">
        <f>IF(D264=År1,P264,SUM(O264,P264))*IFERROR(VLOOKUP(A264,[1]Tørstofindhold!A$2:B$24,2,FALSE),0)</f>
        <v>0</v>
      </c>
      <c r="W264" s="189">
        <f>J264*IFERROR(VLOOKUP(A264,[1]Tørstofindhold!A$2:B$24,2,FALSE),0)</f>
        <v>0</v>
      </c>
      <c r="X264" s="190">
        <f t="shared" si="65"/>
        <v>0</v>
      </c>
      <c r="Y264" s="170">
        <f t="shared" si="76"/>
        <v>0</v>
      </c>
      <c r="Z264" s="103">
        <f t="shared" si="77"/>
        <v>1</v>
      </c>
    </row>
    <row r="265" spans="1:26" hidden="1" x14ac:dyDescent="0.25">
      <c r="A265" s="191" t="str">
        <f t="shared" si="72"/>
        <v>Korn</v>
      </c>
      <c r="B265" s="191" t="str">
        <f t="shared" si="73"/>
        <v>Halm og strå</v>
      </c>
      <c r="C265" s="191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1">
        <f t="shared" si="74"/>
        <v>2050</v>
      </c>
      <c r="E265" s="189" t="s">
        <v>24</v>
      </c>
      <c r="F265" s="192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1263803.7512143303</v>
      </c>
      <c r="G265" s="192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368193.19308724854</v>
      </c>
      <c r="H265" s="189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2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2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2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2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6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1">
        <f t="shared" si="62"/>
        <v>627361.53977782233</v>
      </c>
      <c r="O265" s="192">
        <f t="shared" si="75"/>
        <v>627361.53977782233</v>
      </c>
      <c r="P265" s="202">
        <f t="shared" si="63"/>
        <v>0</v>
      </c>
      <c r="Q265" s="189">
        <f>IFERROR(VLOOKUP(A265,[1]Energiindhold!$A$2:$C$11,3,FALSE),IFERROR(VLOOKUP(A265,[1]Biogasudbytte!$A$2:$B$18,2,FALSE)*[1]Energiindhold!$C$10,0))*O265</f>
        <v>2.148625443123473</v>
      </c>
      <c r="R265" s="189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2.148625443123473</v>
      </c>
      <c r="S265" s="189">
        <f>IFERROR(VLOOKUP(A265,[1]Biogasudbytte!$A$2:$B$18,2,FALSE)*[1]Energiindhold!$C$10,0)*J265*IFERROR(VLOOKUP(A265,Biogasanlæg!$F$3:$G$8,2,FALSE),1)</f>
        <v>0</v>
      </c>
      <c r="T265" s="190">
        <f t="shared" si="64"/>
        <v>2.148625443123473</v>
      </c>
      <c r="U265" s="188">
        <f>O265*IFERROR(VLOOKUP(A265,[1]Tørstofindhold!A$2:B$24,2,FALSE),0)</f>
        <v>194482.07733112492</v>
      </c>
      <c r="V265" s="189">
        <f>IF(D265=År1,P265,SUM(O265,P265))*IFERROR(VLOOKUP(A265,[1]Tørstofindhold!A$2:B$24,2,FALSE),0)</f>
        <v>194482.07733112492</v>
      </c>
      <c r="W265" s="189">
        <f>J265*IFERROR(VLOOKUP(A265,[1]Tørstofindhold!A$2:B$24,2,FALSE),0)</f>
        <v>0</v>
      </c>
      <c r="X265" s="190">
        <f t="shared" si="65"/>
        <v>194482.07733112492</v>
      </c>
      <c r="Y265" s="170">
        <f t="shared" si="76"/>
        <v>0</v>
      </c>
      <c r="Z265" s="103">
        <f t="shared" si="77"/>
        <v>1</v>
      </c>
    </row>
    <row r="266" spans="1:26" hidden="1" x14ac:dyDescent="0.25">
      <c r="A266" s="191" t="str">
        <f t="shared" si="72"/>
        <v>Kunstgødning</v>
      </c>
      <c r="B266" s="191" t="str">
        <f t="shared" si="73"/>
        <v/>
      </c>
      <c r="C266" s="191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1">
        <f t="shared" si="74"/>
        <v>2050</v>
      </c>
      <c r="E266" s="189" t="s">
        <v>24</v>
      </c>
      <c r="F266" s="192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2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9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2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2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2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428883.93622894585</v>
      </c>
      <c r="L266" s="192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6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1">
        <f t="shared" ca="1" si="62"/>
        <v>-428883.93622894585</v>
      </c>
      <c r="O266" s="192">
        <f t="shared" si="75"/>
        <v>0</v>
      </c>
      <c r="P266" s="202">
        <f t="shared" si="63"/>
        <v>0</v>
      </c>
      <c r="Q266" s="189">
        <f>IFERROR(VLOOKUP(A266,[1]Energiindhold!$A$2:$C$11,3,FALSE),IFERROR(VLOOKUP(A266,[1]Biogasudbytte!$A$2:$B$18,2,FALSE)*[1]Energiindhold!$C$10,0))*O266</f>
        <v>0</v>
      </c>
      <c r="R266" s="189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9">
        <f>IFERROR(VLOOKUP(A266,[1]Biogasudbytte!$A$2:$B$18,2,FALSE)*[1]Energiindhold!$C$10,0)*J266*IFERROR(VLOOKUP(A266,Biogasanlæg!$F$3:$G$8,2,FALSE),1)</f>
        <v>0</v>
      </c>
      <c r="T266" s="190">
        <f t="shared" si="64"/>
        <v>0</v>
      </c>
      <c r="U266" s="188">
        <f>O266*IFERROR(VLOOKUP(A266,[1]Tørstofindhold!A$2:B$24,2,FALSE),0)</f>
        <v>0</v>
      </c>
      <c r="V266" s="189">
        <f>IF(D266=År1,P266,SUM(O266,P266))*IFERROR(VLOOKUP(A266,[1]Tørstofindhold!A$2:B$24,2,FALSE),0)</f>
        <v>0</v>
      </c>
      <c r="W266" s="189">
        <f>J266*IFERROR(VLOOKUP(A266,[1]Tørstofindhold!A$2:B$24,2,FALSE),0)</f>
        <v>0</v>
      </c>
      <c r="X266" s="190">
        <f t="shared" si="65"/>
        <v>0</v>
      </c>
      <c r="Y266" s="170">
        <f t="shared" ca="1" si="76"/>
        <v>1</v>
      </c>
      <c r="Z266" s="103">
        <f t="shared" ca="1" si="77"/>
        <v>0</v>
      </c>
    </row>
    <row r="267" spans="1:26" hidden="1" x14ac:dyDescent="0.25">
      <c r="A267" s="191" t="str">
        <f t="shared" si="72"/>
        <v>Kvæggylle</v>
      </c>
      <c r="B267" s="191" t="str">
        <f t="shared" si="73"/>
        <v>Husdyrgødning</v>
      </c>
      <c r="C267" s="191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1">
        <f t="shared" si="74"/>
        <v>2050</v>
      </c>
      <c r="E267" s="189" t="s">
        <v>24</v>
      </c>
      <c r="F267" s="192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389113.08134287433</v>
      </c>
      <c r="G267" s="192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9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2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2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350201.77320858691</v>
      </c>
      <c r="K267" s="192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38911.308134287421</v>
      </c>
      <c r="L267" s="192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6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1">
        <f t="shared" si="62"/>
        <v>0</v>
      </c>
      <c r="O267" s="192">
        <f t="shared" si="75"/>
        <v>0</v>
      </c>
      <c r="P267" s="202">
        <f t="shared" si="63"/>
        <v>350201.77320858691</v>
      </c>
      <c r="Q267" s="189">
        <f>IFERROR(VLOOKUP(A267,[1]Energiindhold!$A$2:$C$11,3,FALSE),IFERROR(VLOOKUP(A267,[1]Biogasudbytte!$A$2:$B$18,2,FALSE)*[1]Energiindhold!$C$10,0))*O267</f>
        <v>0</v>
      </c>
      <c r="R267" s="189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0.17726863558045464</v>
      </c>
      <c r="S267" s="189">
        <f>IFERROR(VLOOKUP(A267,[1]Biogasudbytte!$A$2:$B$18,2,FALSE)*[1]Energiindhold!$C$10,0)*J267*IFERROR(VLOOKUP(A267,Biogasanlæg!$F$3:$G$8,2,FALSE),1)</f>
        <v>0.17726863558045464</v>
      </c>
      <c r="T267" s="190">
        <f t="shared" si="64"/>
        <v>0</v>
      </c>
      <c r="U267" s="188">
        <f>O267*IFERROR(VLOOKUP(A267,[1]Tørstofindhold!A$2:B$24,2,FALSE),0)</f>
        <v>0</v>
      </c>
      <c r="V267" s="189">
        <f>IF(D267=År1,P267,SUM(O267,P267))*IFERROR(VLOOKUP(A267,[1]Tørstofindhold!A$2:B$24,2,FALSE),0)</f>
        <v>26615.334763852603</v>
      </c>
      <c r="W267" s="189">
        <f>J267*IFERROR(VLOOKUP(A267,[1]Tørstofindhold!A$2:B$24,2,FALSE),0)</f>
        <v>26615.334763852603</v>
      </c>
      <c r="X267" s="190">
        <f t="shared" si="65"/>
        <v>0</v>
      </c>
      <c r="Y267" s="170">
        <f t="shared" si="76"/>
        <v>0</v>
      </c>
      <c r="Z267" s="103">
        <f t="shared" si="77"/>
        <v>0</v>
      </c>
    </row>
    <row r="268" spans="1:26" hidden="1" x14ac:dyDescent="0.25">
      <c r="A268" s="191" t="str">
        <f t="shared" si="72"/>
        <v>Mælk til foder</v>
      </c>
      <c r="B268" s="191" t="str">
        <f t="shared" si="73"/>
        <v/>
      </c>
      <c r="C268" s="191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1">
        <f t="shared" si="74"/>
        <v>2050</v>
      </c>
      <c r="E268" s="189" t="s">
        <v>24</v>
      </c>
      <c r="F268" s="192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48832.551981699173</v>
      </c>
      <c r="G268" s="192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94582.81637840427</v>
      </c>
      <c r="H268" s="189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2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2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2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2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6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1">
        <f t="shared" si="62"/>
        <v>-45750.264396705097</v>
      </c>
      <c r="O268" s="192">
        <f t="shared" si="75"/>
        <v>0</v>
      </c>
      <c r="P268" s="202">
        <f t="shared" si="63"/>
        <v>0</v>
      </c>
      <c r="Q268" s="189">
        <f>IFERROR(VLOOKUP(A268,[1]Energiindhold!$A$2:$C$11,3,FALSE),IFERROR(VLOOKUP(A268,[1]Biogasudbytte!$A$2:$B$18,2,FALSE)*[1]Energiindhold!$C$10,0))*O268</f>
        <v>0</v>
      </c>
      <c r="R268" s="189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9">
        <f>IFERROR(VLOOKUP(A268,[1]Biogasudbytte!$A$2:$B$18,2,FALSE)*[1]Energiindhold!$C$10,0)*J268*IFERROR(VLOOKUP(A268,Biogasanlæg!$F$3:$G$8,2,FALSE),1)</f>
        <v>0</v>
      </c>
      <c r="T268" s="190">
        <f t="shared" si="64"/>
        <v>0</v>
      </c>
      <c r="U268" s="188">
        <f>O268*IFERROR(VLOOKUP(A268,[1]Tørstofindhold!A$2:B$24,2,FALSE),0)</f>
        <v>0</v>
      </c>
      <c r="V268" s="189">
        <f>IF(D268=År1,P268,SUM(O268,P268))*IFERROR(VLOOKUP(A268,[1]Tørstofindhold!A$2:B$24,2,FALSE),0)</f>
        <v>0</v>
      </c>
      <c r="W268" s="189">
        <f>J268*IFERROR(VLOOKUP(A268,[1]Tørstofindhold!A$2:B$24,2,FALSE),0)</f>
        <v>0</v>
      </c>
      <c r="X268" s="190">
        <f t="shared" si="65"/>
        <v>0</v>
      </c>
      <c r="Y268" s="170">
        <f t="shared" si="76"/>
        <v>1</v>
      </c>
      <c r="Z268" s="103">
        <f t="shared" si="77"/>
        <v>0</v>
      </c>
    </row>
    <row r="269" spans="1:26" hidden="1" x14ac:dyDescent="0.25">
      <c r="A269" s="191" t="str">
        <f t="shared" si="72"/>
        <v>Majs</v>
      </c>
      <c r="B269" s="191" t="str">
        <f t="shared" si="73"/>
        <v>Græs og urter</v>
      </c>
      <c r="C269" s="191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1">
        <f t="shared" si="74"/>
        <v>2050</v>
      </c>
      <c r="E269" s="189" t="s">
        <v>24</v>
      </c>
      <c r="F269" s="192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879333.41051066038</v>
      </c>
      <c r="G269" s="192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356442.16067445499</v>
      </c>
      <c r="H269" s="189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2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2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2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2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6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1">
        <f t="shared" si="62"/>
        <v>522891.24983620539</v>
      </c>
      <c r="O269" s="192">
        <f t="shared" si="75"/>
        <v>30250.2127053187</v>
      </c>
      <c r="P269" s="202">
        <f t="shared" si="63"/>
        <v>0</v>
      </c>
      <c r="Q269" s="189">
        <f>IFERROR(VLOOKUP(A269,[1]Energiindhold!$A$2:$C$11,3,FALSE),IFERROR(VLOOKUP(A269,[1]Biogasudbytte!$A$2:$B$18,2,FALSE)*[1]Energiindhold!$C$10,0))*O269</f>
        <v>0.10859826361209414</v>
      </c>
      <c r="R269" s="189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0.10859826361209414</v>
      </c>
      <c r="S269" s="189">
        <f>IFERROR(VLOOKUP(A269,[1]Biogasudbytte!$A$2:$B$18,2,FALSE)*[1]Energiindhold!$C$10,0)*J269*IFERROR(VLOOKUP(A269,Biogasanlæg!$F$3:$G$8,2,FALSE),1)</f>
        <v>0</v>
      </c>
      <c r="T269" s="190">
        <f t="shared" si="64"/>
        <v>0.10859826361209414</v>
      </c>
      <c r="U269" s="188">
        <f>O269*IFERROR(VLOOKUP(A269,[1]Tørstofindhold!A$2:B$24,2,FALSE),0)</f>
        <v>9075.0638115956099</v>
      </c>
      <c r="V269" s="189">
        <f>IF(D269=År1,P269,SUM(O269,P269))*IFERROR(VLOOKUP(A269,[1]Tørstofindhold!A$2:B$24,2,FALSE),0)</f>
        <v>9075.0638115956099</v>
      </c>
      <c r="W269" s="189">
        <f>J269*IFERROR(VLOOKUP(A269,[1]Tørstofindhold!A$2:B$24,2,FALSE),0)</f>
        <v>0</v>
      </c>
      <c r="X269" s="190">
        <f t="shared" si="65"/>
        <v>9075.0638115956099</v>
      </c>
      <c r="Y269" s="170">
        <f t="shared" si="76"/>
        <v>0</v>
      </c>
      <c r="Z269" s="103">
        <f t="shared" si="77"/>
        <v>1</v>
      </c>
    </row>
    <row r="270" spans="1:26" hidden="1" x14ac:dyDescent="0.25">
      <c r="A270" s="191" t="str">
        <f t="shared" si="72"/>
        <v>Mejeriprodukter</v>
      </c>
      <c r="B270" s="191" t="str">
        <f t="shared" si="73"/>
        <v/>
      </c>
      <c r="C270" s="191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1">
        <f t="shared" si="74"/>
        <v>2050</v>
      </c>
      <c r="E270" s="189" t="s">
        <v>24</v>
      </c>
      <c r="F270" s="192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94221.48175062571</v>
      </c>
      <c r="G270" s="192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9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2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2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2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2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6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1">
        <f t="shared" si="62"/>
        <v>-333992.54754085263</v>
      </c>
      <c r="O270" s="192">
        <f t="shared" si="75"/>
        <v>0</v>
      </c>
      <c r="P270" s="202">
        <f t="shared" si="63"/>
        <v>0</v>
      </c>
      <c r="Q270" s="189">
        <f>IFERROR(VLOOKUP(A270,[1]Energiindhold!$A$2:$C$11,3,FALSE),IFERROR(VLOOKUP(A270,[1]Biogasudbytte!$A$2:$B$18,2,FALSE)*[1]Energiindhold!$C$10,0))*O270</f>
        <v>0</v>
      </c>
      <c r="R270" s="189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9">
        <f>IFERROR(VLOOKUP(A270,[1]Biogasudbytte!$A$2:$B$18,2,FALSE)*[1]Energiindhold!$C$10,0)*J270*IFERROR(VLOOKUP(A270,Biogasanlæg!$F$3:$G$8,2,FALSE),1)</f>
        <v>0</v>
      </c>
      <c r="T270" s="190">
        <f t="shared" si="64"/>
        <v>0</v>
      </c>
      <c r="U270" s="188">
        <f>O270*IFERROR(VLOOKUP(A270,[1]Tørstofindhold!A$2:B$24,2,FALSE),0)</f>
        <v>0</v>
      </c>
      <c r="V270" s="189">
        <f>IF(D270=År1,P270,SUM(O270,P270))*IFERROR(VLOOKUP(A270,[1]Tørstofindhold!A$2:B$24,2,FALSE),0)</f>
        <v>0</v>
      </c>
      <c r="W270" s="189">
        <f>J270*IFERROR(VLOOKUP(A270,[1]Tørstofindhold!A$2:B$24,2,FALSE),0)</f>
        <v>0</v>
      </c>
      <c r="X270" s="190">
        <f t="shared" si="65"/>
        <v>0</v>
      </c>
      <c r="Y270" s="170">
        <f t="shared" si="76"/>
        <v>0</v>
      </c>
      <c r="Z270" s="103">
        <f t="shared" si="77"/>
        <v>1</v>
      </c>
    </row>
    <row r="271" spans="1:26" hidden="1" x14ac:dyDescent="0.25">
      <c r="A271" s="191" t="str">
        <f t="shared" si="72"/>
        <v>Muslinger</v>
      </c>
      <c r="B271" s="191" t="str">
        <f t="shared" si="73"/>
        <v>Havbiomasse</v>
      </c>
      <c r="C271" s="191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1">
        <f t="shared" si="74"/>
        <v>2050</v>
      </c>
      <c r="E271" s="189" t="s">
        <v>24</v>
      </c>
      <c r="F271" s="192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40541.689725561351</v>
      </c>
      <c r="G271" s="192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9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2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2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2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2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6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1">
        <f t="shared" si="62"/>
        <v>40541.689725561351</v>
      </c>
      <c r="O271" s="192">
        <f t="shared" si="75"/>
        <v>40541.689725561351</v>
      </c>
      <c r="P271" s="202">
        <f t="shared" si="63"/>
        <v>0</v>
      </c>
      <c r="Q271" s="189">
        <f>IFERROR(VLOOKUP(A271,[1]Energiindhold!$A$2:$C$11,3,FALSE),IFERROR(VLOOKUP(A271,[1]Biogasudbytte!$A$2:$B$18,2,FALSE)*[1]Energiindhold!$C$10,0))*O271</f>
        <v>3.6386166528691317E-2</v>
      </c>
      <c r="R271" s="189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3.6386166528691317E-2</v>
      </c>
      <c r="S271" s="189">
        <f>IFERROR(VLOOKUP(A271,[1]Biogasudbytte!$A$2:$B$18,2,FALSE)*[1]Energiindhold!$C$10,0)*J271*IFERROR(VLOOKUP(A271,Biogasanlæg!$F$3:$G$8,2,FALSE),1)</f>
        <v>0</v>
      </c>
      <c r="T271" s="190">
        <f t="shared" si="64"/>
        <v>3.6386166528691317E-2</v>
      </c>
      <c r="U271" s="188">
        <f>O271*IFERROR(VLOOKUP(A271,[1]Tørstofindhold!A$2:B$24,2,FALSE),0)</f>
        <v>6081.2534588342023</v>
      </c>
      <c r="V271" s="189">
        <f>IF(D271=År1,P271,SUM(O271,P271))*IFERROR(VLOOKUP(A271,[1]Tørstofindhold!A$2:B$24,2,FALSE),0)</f>
        <v>6081.2534588342023</v>
      </c>
      <c r="W271" s="189">
        <f>J271*IFERROR(VLOOKUP(A271,[1]Tørstofindhold!A$2:B$24,2,FALSE),0)</f>
        <v>0</v>
      </c>
      <c r="X271" s="190">
        <f t="shared" si="65"/>
        <v>6081.2534588342023</v>
      </c>
      <c r="Y271" s="170">
        <f t="shared" si="76"/>
        <v>0</v>
      </c>
      <c r="Z271" s="103">
        <f t="shared" si="77"/>
        <v>1</v>
      </c>
    </row>
    <row r="272" spans="1:26" hidden="1" x14ac:dyDescent="0.25">
      <c r="A272" s="191" t="str">
        <f t="shared" si="72"/>
        <v>Oksekød</v>
      </c>
      <c r="B272" s="191" t="str">
        <f t="shared" si="73"/>
        <v/>
      </c>
      <c r="C272" s="191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1">
        <f t="shared" si="74"/>
        <v>2050</v>
      </c>
      <c r="E272" s="189" t="s">
        <v>24</v>
      </c>
      <c r="F272" s="192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2788.1222579681466</v>
      </c>
      <c r="G272" s="192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9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2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27206.356861018925</v>
      </c>
      <c r="J272" s="192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2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2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6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1">
        <f t="shared" si="62"/>
        <v>-24418.23460305078</v>
      </c>
      <c r="O272" s="192">
        <f t="shared" si="75"/>
        <v>0</v>
      </c>
      <c r="P272" s="202">
        <f t="shared" si="63"/>
        <v>0</v>
      </c>
      <c r="Q272" s="189">
        <f>IFERROR(VLOOKUP(A272,[1]Energiindhold!$A$2:$C$11,3,FALSE),IFERROR(VLOOKUP(A272,[1]Biogasudbytte!$A$2:$B$18,2,FALSE)*[1]Energiindhold!$C$10,0))*O272</f>
        <v>0</v>
      </c>
      <c r="R272" s="189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9">
        <f>IFERROR(VLOOKUP(A272,[1]Biogasudbytte!$A$2:$B$18,2,FALSE)*[1]Energiindhold!$C$10,0)*J272*IFERROR(VLOOKUP(A272,Biogasanlæg!$F$3:$G$8,2,FALSE),1)</f>
        <v>0</v>
      </c>
      <c r="T272" s="190">
        <f t="shared" si="64"/>
        <v>0</v>
      </c>
      <c r="U272" s="188">
        <f>O272*IFERROR(VLOOKUP(A272,[1]Tørstofindhold!A$2:B$24,2,FALSE),0)</f>
        <v>0</v>
      </c>
      <c r="V272" s="189">
        <f>IF(D272=År1,P272,SUM(O272,P272))*IFERROR(VLOOKUP(A272,[1]Tørstofindhold!A$2:B$24,2,FALSE),0)</f>
        <v>0</v>
      </c>
      <c r="W272" s="189">
        <f>J272*IFERROR(VLOOKUP(A272,[1]Tørstofindhold!A$2:B$24,2,FALSE),0)</f>
        <v>0</v>
      </c>
      <c r="X272" s="190">
        <f t="shared" si="65"/>
        <v>0</v>
      </c>
      <c r="Y272" s="170">
        <f t="shared" si="76"/>
        <v>1</v>
      </c>
      <c r="Z272" s="103">
        <f t="shared" si="77"/>
        <v>0</v>
      </c>
    </row>
    <row r="273" spans="1:26" hidden="1" x14ac:dyDescent="0.25">
      <c r="A273" s="191" t="str">
        <f t="shared" si="72"/>
        <v>Øvrige</v>
      </c>
      <c r="B273" s="191" t="str">
        <f t="shared" si="73"/>
        <v/>
      </c>
      <c r="C273" s="191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1">
        <f t="shared" si="74"/>
        <v>2050</v>
      </c>
      <c r="E273" s="189" t="s">
        <v>24</v>
      </c>
      <c r="F273" s="192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353112.97272373439</v>
      </c>
      <c r="G273" s="192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9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2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2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2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2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6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1">
        <f t="shared" si="62"/>
        <v>353112.97272373439</v>
      </c>
      <c r="O273" s="192">
        <f t="shared" si="75"/>
        <v>0</v>
      </c>
      <c r="P273" s="202">
        <f t="shared" si="63"/>
        <v>0</v>
      </c>
      <c r="Q273" s="189">
        <f>IFERROR(VLOOKUP(A273,[1]Energiindhold!$A$2:$C$11,3,FALSE),IFERROR(VLOOKUP(A273,[1]Biogasudbytte!$A$2:$B$18,2,FALSE)*[1]Energiindhold!$C$10,0))*O273</f>
        <v>0</v>
      </c>
      <c r="R273" s="189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9">
        <f>IFERROR(VLOOKUP(A273,[1]Biogasudbytte!$A$2:$B$18,2,FALSE)*[1]Energiindhold!$C$10,0)*J273*IFERROR(VLOOKUP(A273,Biogasanlæg!$F$3:$G$8,2,FALSE),1)</f>
        <v>0</v>
      </c>
      <c r="T273" s="190">
        <f t="shared" si="64"/>
        <v>0</v>
      </c>
      <c r="U273" s="188">
        <f>O273*IFERROR(VLOOKUP(A273,[1]Tørstofindhold!A$2:B$24,2,FALSE),0)</f>
        <v>0</v>
      </c>
      <c r="V273" s="189">
        <f>IF(D273=År1,P273,SUM(O273,P273))*IFERROR(VLOOKUP(A273,[1]Tørstofindhold!A$2:B$24,2,FALSE),0)</f>
        <v>0</v>
      </c>
      <c r="W273" s="189">
        <f>J273*IFERROR(VLOOKUP(A273,[1]Tørstofindhold!A$2:B$24,2,FALSE),0)</f>
        <v>0</v>
      </c>
      <c r="X273" s="190">
        <f t="shared" si="65"/>
        <v>0</v>
      </c>
      <c r="Y273" s="170">
        <f t="shared" si="76"/>
        <v>0</v>
      </c>
      <c r="Z273" s="103">
        <f t="shared" si="77"/>
        <v>1</v>
      </c>
    </row>
    <row r="274" spans="1:26" hidden="1" x14ac:dyDescent="0.25">
      <c r="A274" s="191" t="str">
        <f t="shared" si="72"/>
        <v>Pil &amp; poppel</v>
      </c>
      <c r="B274" s="191" t="str">
        <f t="shared" si="73"/>
        <v>Vedmasse</v>
      </c>
      <c r="C274" s="191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1">
        <f t="shared" si="74"/>
        <v>2050</v>
      </c>
      <c r="E274" s="189" t="s">
        <v>24</v>
      </c>
      <c r="F274" s="192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30151.8698273154</v>
      </c>
      <c r="G274" s="192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9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2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2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2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2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30151.8698273154</v>
      </c>
      <c r="M274" s="156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1">
        <f t="shared" si="62"/>
        <v>0</v>
      </c>
      <c r="O274" s="192">
        <f t="shared" si="75"/>
        <v>0</v>
      </c>
      <c r="P274" s="202">
        <f t="shared" si="63"/>
        <v>30151.8698273154</v>
      </c>
      <c r="Q274" s="189">
        <f>IFERROR(VLOOKUP(A274,[1]Energiindhold!$A$2:$C$11,3,FALSE),IFERROR(VLOOKUP(A274,[1]Biogasudbytte!$A$2:$B$18,2,FALSE)*[1]Energiindhold!$C$10,0))*O274</f>
        <v>0</v>
      </c>
      <c r="R274" s="189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0.55479440482260323</v>
      </c>
      <c r="S274" s="189">
        <f>IFERROR(VLOOKUP(A274,[1]Biogasudbytte!$A$2:$B$18,2,FALSE)*[1]Energiindhold!$C$10,0)*J274*IFERROR(VLOOKUP(A274,Biogasanlæg!$F$3:$G$8,2,FALSE),1)</f>
        <v>0</v>
      </c>
      <c r="T274" s="190">
        <f t="shared" si="64"/>
        <v>0.55479440482260323</v>
      </c>
      <c r="U274" s="188">
        <f>O274*IFERROR(VLOOKUP(A274,[1]Tørstofindhold!A$2:B$24,2,FALSE),0)</f>
        <v>0</v>
      </c>
      <c r="V274" s="189">
        <f>IF(D274=År1,P274,SUM(O274,P274))*IFERROR(VLOOKUP(A274,[1]Tørstofindhold!A$2:B$24,2,FALSE),0)</f>
        <v>12513.025978335892</v>
      </c>
      <c r="W274" s="189">
        <f>J274*IFERROR(VLOOKUP(A274,[1]Tørstofindhold!A$2:B$24,2,FALSE),0)</f>
        <v>0</v>
      </c>
      <c r="X274" s="190">
        <f t="shared" si="65"/>
        <v>12513.025978335892</v>
      </c>
      <c r="Y274" s="170">
        <f t="shared" si="76"/>
        <v>0</v>
      </c>
      <c r="Z274" s="103">
        <f t="shared" si="77"/>
        <v>0</v>
      </c>
    </row>
    <row r="275" spans="1:26" hidden="1" x14ac:dyDescent="0.25">
      <c r="A275" s="191" t="str">
        <f t="shared" ref="A275:A276" si="78">A227</f>
        <v>Pyrolysegas</v>
      </c>
      <c r="B275" s="191" t="str">
        <f t="shared" ref="B275:B276" si="79">IF(B227&lt;&gt;"",B227,"")</f>
        <v>Pyrolyseprodukter</v>
      </c>
      <c r="C275" s="191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1">
        <f t="shared" si="74"/>
        <v>2050</v>
      </c>
      <c r="E275" s="189" t="s">
        <v>24</v>
      </c>
      <c r="F275" s="192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396273.58464931493</v>
      </c>
      <c r="G275" s="192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9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2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2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2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2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396273.58464931493</v>
      </c>
      <c r="M275" s="156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1">
        <f t="shared" ref="N275:N276" si="80">F275-SUM(G275:M275)</f>
        <v>0</v>
      </c>
      <c r="O275" s="192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2">
        <f t="shared" ref="P275:P276" si="82">SUM(J275,L275)</f>
        <v>396273.58464931493</v>
      </c>
      <c r="Q275" s="189">
        <f>IFERROR(VLOOKUP(A275,[1]Energiindhold!$A$2:$C$11,3,FALSE),IFERROR(VLOOKUP(A275,[1]Biogasudbytte!$A$2:$B$18,2,FALSE)*[1]Energiindhold!$C$10,0))*O275</f>
        <v>0</v>
      </c>
      <c r="R275" s="189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3.5511774235787885</v>
      </c>
      <c r="S275" s="189">
        <f>IFERROR(VLOOKUP(A275,[1]Biogasudbytte!$A$2:$B$18,2,FALSE)*[1]Energiindhold!$C$10,0)*J275*IFERROR(VLOOKUP(A275,Biogasanlæg!$F$3:$G$8,2,FALSE),1)</f>
        <v>0</v>
      </c>
      <c r="T275" s="190">
        <f t="shared" ref="T275:T276" si="83">R275-S275</f>
        <v>3.5511774235787885</v>
      </c>
      <c r="U275" s="188">
        <f>O275*IFERROR(VLOOKUP(A275,[1]Tørstofindhold!A$2:B$24,2,FALSE),0)</f>
        <v>0</v>
      </c>
      <c r="V275" s="189">
        <f>IF(D275=År1,P275,SUM(O275,P275))*IFERROR(VLOOKUP(A275,[1]Tørstofindhold!A$2:B$24,2,FALSE),0)</f>
        <v>0</v>
      </c>
      <c r="W275" s="189">
        <f>J275*IFERROR(VLOOKUP(A275,[1]Tørstofindhold!A$2:B$24,2,FALSE),0)</f>
        <v>0</v>
      </c>
      <c r="X275" s="190">
        <f t="shared" ref="X275:X276" si="84">V275-W275</f>
        <v>0</v>
      </c>
      <c r="Y275" s="170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1" t="str">
        <f t="shared" si="78"/>
        <v>Pyrolyseolie</v>
      </c>
      <c r="B276" s="191" t="str">
        <f t="shared" si="79"/>
        <v>Pyrolyseprodukter</v>
      </c>
      <c r="C276" s="191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1">
        <f t="shared" si="74"/>
        <v>2050</v>
      </c>
      <c r="E276" s="189" t="s">
        <v>24</v>
      </c>
      <c r="F276" s="192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99068.396162328732</v>
      </c>
      <c r="G276" s="192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9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2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2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2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2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99068.396162328732</v>
      </c>
      <c r="M276" s="156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1">
        <f t="shared" si="80"/>
        <v>0</v>
      </c>
      <c r="O276" s="192">
        <f t="shared" si="81"/>
        <v>0</v>
      </c>
      <c r="P276" s="202">
        <f t="shared" si="82"/>
        <v>99068.396162328732</v>
      </c>
      <c r="Q276" s="189">
        <f>IFERROR(VLOOKUP(A276,[1]Energiindhold!$A$2:$C$11,3,FALSE),IFERROR(VLOOKUP(A276,[1]Biogasudbytte!$A$2:$B$18,2,FALSE)*[1]Energiindhold!$C$10,0))*O276</f>
        <v>0</v>
      </c>
      <c r="R276" s="189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3.2958640140404443</v>
      </c>
      <c r="S276" s="189">
        <f>IFERROR(VLOOKUP(A276,[1]Biogasudbytte!$A$2:$B$18,2,FALSE)*[1]Energiindhold!$C$10,0)*J276*IFERROR(VLOOKUP(A276,Biogasanlæg!$F$3:$G$8,2,FALSE),1)</f>
        <v>0</v>
      </c>
      <c r="T276" s="190">
        <f t="shared" si="83"/>
        <v>3.2958640140404443</v>
      </c>
      <c r="U276" s="188">
        <f>O276*IFERROR(VLOOKUP(A276,[1]Tørstofindhold!A$2:B$24,2,FALSE),0)</f>
        <v>0</v>
      </c>
      <c r="V276" s="189">
        <f>IF(D276=År1,P276,SUM(O276,P276))*IFERROR(VLOOKUP(A276,[1]Tørstofindhold!A$2:B$24,2,FALSE),0)</f>
        <v>0</v>
      </c>
      <c r="W276" s="189">
        <f>J276*IFERROR(VLOOKUP(A276,[1]Tørstofindhold!A$2:B$24,2,FALSE),0)</f>
        <v>0</v>
      </c>
      <c r="X276" s="190">
        <f t="shared" si="84"/>
        <v>0</v>
      </c>
      <c r="Y276" s="170">
        <f t="shared" si="85"/>
        <v>0</v>
      </c>
      <c r="Z276" s="103">
        <f t="shared" si="86"/>
        <v>0</v>
      </c>
    </row>
    <row r="277" spans="1:26" hidden="1" x14ac:dyDescent="0.25">
      <c r="A277" s="191" t="str">
        <f t="shared" ref="A277:A290" si="87">A229</f>
        <v>Råmælk</v>
      </c>
      <c r="B277" s="191" t="str">
        <f t="shared" ref="B277:B290" si="88">IF(B229&lt;&gt;"",B229,"")</f>
        <v/>
      </c>
      <c r="C277" s="191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1">
        <f t="shared" si="74"/>
        <v>2050</v>
      </c>
      <c r="E277" s="189" t="s">
        <v>24</v>
      </c>
      <c r="F277" s="192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146722.08587930756</v>
      </c>
      <c r="G277" s="192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9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2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2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2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2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6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1">
        <f t="shared" si="62"/>
        <v>146722.08587930756</v>
      </c>
      <c r="O277" s="192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2">
        <f t="shared" si="63"/>
        <v>0</v>
      </c>
      <c r="Q277" s="189">
        <f>IFERROR(VLOOKUP(A277,[1]Energiindhold!$A$2:$C$11,3,FALSE),IFERROR(VLOOKUP(A277,[1]Biogasudbytte!$A$2:$B$18,2,FALSE)*[1]Energiindhold!$C$10,0))*O277</f>
        <v>0</v>
      </c>
      <c r="R277" s="189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9">
        <f>IFERROR(VLOOKUP(A277,[1]Biogasudbytte!$A$2:$B$18,2,FALSE)*[1]Energiindhold!$C$10,0)*J277*IFERROR(VLOOKUP(A277,Biogasanlæg!$F$3:$G$8,2,FALSE),1)</f>
        <v>0</v>
      </c>
      <c r="T277" s="190">
        <f t="shared" si="64"/>
        <v>0</v>
      </c>
      <c r="U277" s="188">
        <f>O277*IFERROR(VLOOKUP(A277,[1]Tørstofindhold!A$2:B$24,2,FALSE),0)</f>
        <v>0</v>
      </c>
      <c r="V277" s="189">
        <f>IF(D277=År1,P277,SUM(O277,P277))*IFERROR(VLOOKUP(A277,[1]Tørstofindhold!A$2:B$24,2,FALSE),0)</f>
        <v>0</v>
      </c>
      <c r="W277" s="189">
        <f>J277*IFERROR(VLOOKUP(A277,[1]Tørstofindhold!A$2:B$24,2,FALSE),0)</f>
        <v>0</v>
      </c>
      <c r="X277" s="190">
        <f t="shared" si="65"/>
        <v>0</v>
      </c>
      <c r="Y277" s="170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1" t="str">
        <f t="shared" si="87"/>
        <v>Raps</v>
      </c>
      <c r="B278" s="191" t="str">
        <f t="shared" si="88"/>
        <v/>
      </c>
      <c r="C278" s="191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1">
        <f t="shared" si="74"/>
        <v>2050</v>
      </c>
      <c r="E278" s="189" t="s">
        <v>24</v>
      </c>
      <c r="F278" s="192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189586.12196995915</v>
      </c>
      <c r="G278" s="192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9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2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2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2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2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6">
        <f>SUMIFS('Forbrug af biomasse'!E:E,'Forbrug af biomasse'!C:C,'Resultat-Produktion &amp; forbrug'!$A278,'Forbrug af biomasse'!D:D,'Resultat-Produktion &amp; forbrug'!$D278,'Forbrug af biomasse'!G:G,1,'Forbrug af biomasse'!B:B,$E278)</f>
        <v>189586.12196995915</v>
      </c>
      <c r="N278" s="201">
        <f t="shared" si="62"/>
        <v>0</v>
      </c>
      <c r="O278" s="192">
        <f t="shared" si="89"/>
        <v>0</v>
      </c>
      <c r="P278" s="202">
        <f t="shared" si="63"/>
        <v>0</v>
      </c>
      <c r="Q278" s="189">
        <f>IFERROR(VLOOKUP(A278,[1]Energiindhold!$A$2:$C$11,3,FALSE),IFERROR(VLOOKUP(A278,[1]Biogasudbytte!$A$2:$B$18,2,FALSE)*[1]Energiindhold!$C$10,0))*O278</f>
        <v>0</v>
      </c>
      <c r="R278" s="189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9">
        <f>IFERROR(VLOOKUP(A278,[1]Biogasudbytte!$A$2:$B$18,2,FALSE)*[1]Energiindhold!$C$10,0)*J278*IFERROR(VLOOKUP(A278,Biogasanlæg!$F$3:$G$8,2,FALSE),1)</f>
        <v>0</v>
      </c>
      <c r="T278" s="190">
        <f t="shared" si="64"/>
        <v>0</v>
      </c>
      <c r="U278" s="188">
        <f>O278*IFERROR(VLOOKUP(A278,[1]Tørstofindhold!A$2:B$24,2,FALSE),0)</f>
        <v>0</v>
      </c>
      <c r="V278" s="189">
        <f>IF(D278=År1,P278,SUM(O278,P278))*IFERROR(VLOOKUP(A278,[1]Tørstofindhold!A$2:B$24,2,FALSE),0)</f>
        <v>0</v>
      </c>
      <c r="W278" s="189">
        <f>J278*IFERROR(VLOOKUP(A278,[1]Tørstofindhold!A$2:B$24,2,FALSE),0)</f>
        <v>0</v>
      </c>
      <c r="X278" s="190">
        <f t="shared" si="65"/>
        <v>0</v>
      </c>
      <c r="Y278" s="170">
        <f t="shared" si="90"/>
        <v>0</v>
      </c>
      <c r="Z278" s="103">
        <f t="shared" si="91"/>
        <v>0</v>
      </c>
    </row>
    <row r="279" spans="1:26" hidden="1" x14ac:dyDescent="0.25">
      <c r="A279" s="191" t="str">
        <f t="shared" si="87"/>
        <v>Rapskage</v>
      </c>
      <c r="B279" s="191" t="str">
        <f t="shared" si="88"/>
        <v/>
      </c>
      <c r="C279" s="191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1">
        <f t="shared" si="74"/>
        <v>2050</v>
      </c>
      <c r="E279" s="189" t="s">
        <v>24</v>
      </c>
      <c r="F279" s="192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94793.060984979573</v>
      </c>
      <c r="G279" s="192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38608.730223956329</v>
      </c>
      <c r="H279" s="189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2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2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2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2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6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1">
        <f t="shared" si="62"/>
        <v>56184.330761023244</v>
      </c>
      <c r="O279" s="192">
        <f t="shared" si="89"/>
        <v>0</v>
      </c>
      <c r="P279" s="202">
        <f t="shared" si="63"/>
        <v>0</v>
      </c>
      <c r="Q279" s="189">
        <f>IFERROR(VLOOKUP(A279,[1]Energiindhold!$A$2:$C$11,3,FALSE),IFERROR(VLOOKUP(A279,[1]Biogasudbytte!$A$2:$B$18,2,FALSE)*[1]Energiindhold!$C$10,0))*O279</f>
        <v>0</v>
      </c>
      <c r="R279" s="189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9">
        <f>IFERROR(VLOOKUP(A279,[1]Biogasudbytte!$A$2:$B$18,2,FALSE)*[1]Energiindhold!$C$10,0)*J279*IFERROR(VLOOKUP(A279,Biogasanlæg!$F$3:$G$8,2,FALSE),1)</f>
        <v>0</v>
      </c>
      <c r="T279" s="190">
        <f t="shared" si="64"/>
        <v>0</v>
      </c>
      <c r="U279" s="188">
        <f>O279*IFERROR(VLOOKUP(A279,[1]Tørstofindhold!A$2:B$24,2,FALSE),0)</f>
        <v>0</v>
      </c>
      <c r="V279" s="189">
        <f>IF(D279=År1,P279,SUM(O279,P279))*IFERROR(VLOOKUP(A279,[1]Tørstofindhold!A$2:B$24,2,FALSE),0)</f>
        <v>0</v>
      </c>
      <c r="W279" s="189">
        <f>J279*IFERROR(VLOOKUP(A279,[1]Tørstofindhold!A$2:B$24,2,FALSE),0)</f>
        <v>0</v>
      </c>
      <c r="X279" s="190">
        <f t="shared" si="65"/>
        <v>0</v>
      </c>
      <c r="Y279" s="170">
        <f t="shared" si="90"/>
        <v>0</v>
      </c>
      <c r="Z279" s="103">
        <f t="shared" si="91"/>
        <v>1</v>
      </c>
    </row>
    <row r="280" spans="1:26" hidden="1" x14ac:dyDescent="0.25">
      <c r="A280" s="191" t="str">
        <f t="shared" si="87"/>
        <v>Rapsolie</v>
      </c>
      <c r="B280" s="191" t="str">
        <f t="shared" si="88"/>
        <v>Rapsolie</v>
      </c>
      <c r="C280" s="191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1">
        <f t="shared" si="74"/>
        <v>2050</v>
      </c>
      <c r="E280" s="189" t="s">
        <v>24</v>
      </c>
      <c r="F280" s="192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60667.559030386925</v>
      </c>
      <c r="G280" s="192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9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2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2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2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2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60667.559030386925</v>
      </c>
      <c r="M280" s="156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1">
        <f t="shared" si="62"/>
        <v>0</v>
      </c>
      <c r="O280" s="192">
        <f t="shared" si="89"/>
        <v>0</v>
      </c>
      <c r="P280" s="202">
        <f t="shared" si="63"/>
        <v>60667.559030386925</v>
      </c>
      <c r="Q280" s="189">
        <f>IFERROR(VLOOKUP(A280,[1]Energiindhold!$A$2:$C$11,3,FALSE),IFERROR(VLOOKUP(A280,[1]Biogasudbytte!$A$2:$B$18,2,FALSE)*[1]Energiindhold!$C$10,0))*O280</f>
        <v>0</v>
      </c>
      <c r="R280" s="189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2.1233645660635423</v>
      </c>
      <c r="S280" s="189">
        <f>IFERROR(VLOOKUP(A280,[1]Biogasudbytte!$A$2:$B$18,2,FALSE)*[1]Energiindhold!$C$10,0)*J280*IFERROR(VLOOKUP(A280,Biogasanlæg!$F$3:$G$8,2,FALSE),1)</f>
        <v>0</v>
      </c>
      <c r="T280" s="190">
        <f t="shared" si="64"/>
        <v>2.1233645660635423</v>
      </c>
      <c r="U280" s="188">
        <f>O280*IFERROR(VLOOKUP(A280,[1]Tørstofindhold!A$2:B$24,2,FALSE),0)</f>
        <v>0</v>
      </c>
      <c r="V280" s="189">
        <f>IF(D280=År1,P280,SUM(O280,P280))*IFERROR(VLOOKUP(A280,[1]Tørstofindhold!A$2:B$24,2,FALSE),0)</f>
        <v>0</v>
      </c>
      <c r="W280" s="189">
        <f>J280*IFERROR(VLOOKUP(A280,[1]Tørstofindhold!A$2:B$24,2,FALSE),0)</f>
        <v>0</v>
      </c>
      <c r="X280" s="190">
        <f t="shared" si="65"/>
        <v>0</v>
      </c>
      <c r="Y280" s="170">
        <f t="shared" si="90"/>
        <v>0</v>
      </c>
      <c r="Z280" s="103">
        <f t="shared" si="91"/>
        <v>0</v>
      </c>
    </row>
    <row r="281" spans="1:26" hidden="1" x14ac:dyDescent="0.25">
      <c r="A281" s="191" t="str">
        <f t="shared" si="87"/>
        <v>Roer</v>
      </c>
      <c r="B281" s="191" t="str">
        <f t="shared" si="88"/>
        <v>Græs og urter</v>
      </c>
      <c r="C281" s="191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1">
        <f t="shared" si="74"/>
        <v>2050</v>
      </c>
      <c r="E281" s="189" t="s">
        <v>24</v>
      </c>
      <c r="F281" s="192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172146.61258475881</v>
      </c>
      <c r="G281" s="192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</v>
      </c>
      <c r="H281" s="189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2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2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2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2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6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1">
        <f t="shared" si="62"/>
        <v>117754.44614116265</v>
      </c>
      <c r="O281" s="192">
        <f t="shared" si="89"/>
        <v>117754.44614116265</v>
      </c>
      <c r="P281" s="202">
        <f t="shared" si="63"/>
        <v>0</v>
      </c>
      <c r="Q281" s="189">
        <f>IFERROR(VLOOKUP(A281,[1]Energiindhold!$A$2:$C$11,3,FALSE),IFERROR(VLOOKUP(A281,[1]Biogasudbytte!$A$2:$B$18,2,FALSE)*[1]Energiindhold!$C$10,0))*O281</f>
        <v>0.31959027700496112</v>
      </c>
      <c r="R281" s="189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0.31959027700496112</v>
      </c>
      <c r="S281" s="189">
        <f>IFERROR(VLOOKUP(A281,[1]Biogasudbytte!$A$2:$B$18,2,FALSE)*[1]Energiindhold!$C$10,0)*J281*IFERROR(VLOOKUP(A281,Biogasanlæg!$F$3:$G$8,2,FALSE),1)</f>
        <v>0</v>
      </c>
      <c r="T281" s="190">
        <f t="shared" si="64"/>
        <v>0.31959027700496112</v>
      </c>
      <c r="U281" s="188">
        <f>O281*IFERROR(VLOOKUP(A281,[1]Tørstofindhold!A$2:B$24,2,FALSE),0)</f>
        <v>23550.889228232532</v>
      </c>
      <c r="V281" s="189">
        <f>IF(D281=År1,P281,SUM(O281,P281))*IFERROR(VLOOKUP(A281,[1]Tørstofindhold!A$2:B$24,2,FALSE),0)</f>
        <v>23550.889228232532</v>
      </c>
      <c r="W281" s="189">
        <f>J281*IFERROR(VLOOKUP(A281,[1]Tørstofindhold!A$2:B$24,2,FALSE),0)</f>
        <v>0</v>
      </c>
      <c r="X281" s="190">
        <f t="shared" si="65"/>
        <v>23550.889228232532</v>
      </c>
      <c r="Y281" s="170">
        <f t="shared" si="90"/>
        <v>0</v>
      </c>
      <c r="Z281" s="103">
        <f t="shared" si="91"/>
        <v>1</v>
      </c>
    </row>
    <row r="282" spans="1:26" hidden="1" x14ac:dyDescent="0.25">
      <c r="A282" s="191" t="str">
        <f t="shared" si="87"/>
        <v>Slagteriaffald til andet</v>
      </c>
      <c r="B282" s="191" t="str">
        <f t="shared" si="88"/>
        <v/>
      </c>
      <c r="C282" s="191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1">
        <f t="shared" ref="D282:D290" si="92">År3</f>
        <v>2050</v>
      </c>
      <c r="E282" s="189" t="s">
        <v>24</v>
      </c>
      <c r="F282" s="192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7974.0452731213709</v>
      </c>
      <c r="G282" s="192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9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2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2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2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2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6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1">
        <f t="shared" ref="N282:N290" si="93">F282-SUM(G282:M282)</f>
        <v>7974.0452731213709</v>
      </c>
      <c r="O282" s="192">
        <f t="shared" si="89"/>
        <v>0</v>
      </c>
      <c r="P282" s="202">
        <f t="shared" ref="P282:P290" si="94">SUM(J282,L282)</f>
        <v>0</v>
      </c>
      <c r="Q282" s="189">
        <f>IFERROR(VLOOKUP(A282,[1]Energiindhold!$A$2:$C$11,3,FALSE),IFERROR(VLOOKUP(A282,[1]Biogasudbytte!$A$2:$B$18,2,FALSE)*[1]Energiindhold!$C$10,0))*O282</f>
        <v>0</v>
      </c>
      <c r="R282" s="189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9">
        <f>IFERROR(VLOOKUP(A282,[1]Biogasudbytte!$A$2:$B$18,2,FALSE)*[1]Energiindhold!$C$10,0)*J282*IFERROR(VLOOKUP(A282,Biogasanlæg!$F$3:$G$8,2,FALSE),1)</f>
        <v>0</v>
      </c>
      <c r="T282" s="190">
        <f t="shared" ref="T282:T290" si="95">R282-S282</f>
        <v>0</v>
      </c>
      <c r="U282" s="188">
        <f>O282*IFERROR(VLOOKUP(A282,[1]Tørstofindhold!A$2:B$24,2,FALSE),0)</f>
        <v>0</v>
      </c>
      <c r="V282" s="189">
        <f>IF(D282=År1,P282,SUM(O282,P282))*IFERROR(VLOOKUP(A282,[1]Tørstofindhold!A$2:B$24,2,FALSE),0)</f>
        <v>0</v>
      </c>
      <c r="W282" s="189">
        <f>J282*IFERROR(VLOOKUP(A282,[1]Tørstofindhold!A$2:B$24,2,FALSE),0)</f>
        <v>0</v>
      </c>
      <c r="X282" s="190">
        <f t="shared" ref="X282:X290" si="96">V282-W282</f>
        <v>0</v>
      </c>
      <c r="Y282" s="170">
        <f t="shared" si="90"/>
        <v>0</v>
      </c>
      <c r="Z282" s="103">
        <f t="shared" si="91"/>
        <v>1</v>
      </c>
    </row>
    <row r="283" spans="1:26" hidden="1" x14ac:dyDescent="0.25">
      <c r="A283" s="191" t="str">
        <f t="shared" si="87"/>
        <v>Slagteriaffald til foder</v>
      </c>
      <c r="B283" s="191" t="str">
        <f t="shared" si="88"/>
        <v/>
      </c>
      <c r="C283" s="191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1">
        <f t="shared" si="92"/>
        <v>2050</v>
      </c>
      <c r="E283" s="189" t="s">
        <v>24</v>
      </c>
      <c r="F283" s="192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6400.6434427366366</v>
      </c>
      <c r="G283" s="192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2409.7062023999997</v>
      </c>
      <c r="H283" s="189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2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2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2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2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6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1">
        <f t="shared" si="93"/>
        <v>3990.9372403366369</v>
      </c>
      <c r="O283" s="192">
        <f t="shared" si="89"/>
        <v>0</v>
      </c>
      <c r="P283" s="202">
        <f t="shared" si="94"/>
        <v>0</v>
      </c>
      <c r="Q283" s="189">
        <f>IFERROR(VLOOKUP(A283,[1]Energiindhold!$A$2:$C$11,3,FALSE),IFERROR(VLOOKUP(A283,[1]Biogasudbytte!$A$2:$B$18,2,FALSE)*[1]Energiindhold!$C$10,0))*O283</f>
        <v>0</v>
      </c>
      <c r="R283" s="189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9">
        <f>IFERROR(VLOOKUP(A283,[1]Biogasudbytte!$A$2:$B$18,2,FALSE)*[1]Energiindhold!$C$10,0)*J283*IFERROR(VLOOKUP(A283,Biogasanlæg!$F$3:$G$8,2,FALSE),1)</f>
        <v>0</v>
      </c>
      <c r="T283" s="190">
        <f t="shared" si="95"/>
        <v>0</v>
      </c>
      <c r="U283" s="188">
        <f>O283*IFERROR(VLOOKUP(A283,[1]Tørstofindhold!A$2:B$24,2,FALSE),0)</f>
        <v>0</v>
      </c>
      <c r="V283" s="189">
        <f>IF(D283=År1,P283,SUM(O283,P283))*IFERROR(VLOOKUP(A283,[1]Tørstofindhold!A$2:B$24,2,FALSE),0)</f>
        <v>0</v>
      </c>
      <c r="W283" s="189">
        <f>J283*IFERROR(VLOOKUP(A283,[1]Tørstofindhold!A$2:B$24,2,FALSE),0)</f>
        <v>0</v>
      </c>
      <c r="X283" s="190">
        <f t="shared" si="96"/>
        <v>0</v>
      </c>
      <c r="Y283" s="170">
        <f t="shared" si="90"/>
        <v>0</v>
      </c>
      <c r="Z283" s="103">
        <f t="shared" si="91"/>
        <v>1</v>
      </c>
    </row>
    <row r="284" spans="1:26" hidden="1" x14ac:dyDescent="0.25">
      <c r="A284" s="191" t="str">
        <f t="shared" si="87"/>
        <v>Spildevandsslam</v>
      </c>
      <c r="B284" s="191" t="str">
        <f t="shared" si="88"/>
        <v>Bionedbrydeligt affald</v>
      </c>
      <c r="C284" s="191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1">
        <f t="shared" si="92"/>
        <v>2050</v>
      </c>
      <c r="E284" s="189" t="s">
        <v>24</v>
      </c>
      <c r="F284" s="192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3495456.2673949548</v>
      </c>
      <c r="G284" s="192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9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2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2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3145910.6406554594</v>
      </c>
      <c r="K284" s="192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2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6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1">
        <f t="shared" si="93"/>
        <v>349545.62673949543</v>
      </c>
      <c r="O284" s="192">
        <f t="shared" si="89"/>
        <v>349545.62673949543</v>
      </c>
      <c r="P284" s="202">
        <f t="shared" si="94"/>
        <v>3145910.6406554594</v>
      </c>
      <c r="Q284" s="189">
        <f>IFERROR(VLOOKUP(A284,[1]Energiindhold!$A$2:$C$11,3,FALSE),IFERROR(VLOOKUP(A284,[1]Biogasudbytte!$A$2:$B$18,2,FALSE)*[1]Energiindhold!$C$10,0))*O284</f>
        <v>0.17442676319927564</v>
      </c>
      <c r="R284" s="189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1.7442676319927566</v>
      </c>
      <c r="S284" s="189">
        <f>IFERROR(VLOOKUP(A284,[1]Biogasudbytte!$A$2:$B$18,2,FALSE)*[1]Energiindhold!$C$10,0)*J284*IFERROR(VLOOKUP(A284,Biogasanlæg!$F$3:$G$8,2,FALSE),1)</f>
        <v>1.5698408687934811</v>
      </c>
      <c r="T284" s="190">
        <f t="shared" si="95"/>
        <v>0.17442676319927553</v>
      </c>
      <c r="U284" s="188">
        <f>O284*IFERROR(VLOOKUP(A284,[1]Tørstofindhold!A$2:B$24,2,FALSE),0)</f>
        <v>20972.737604369726</v>
      </c>
      <c r="V284" s="189">
        <f>IF(D284=År1,P284,SUM(O284,P284))*IFERROR(VLOOKUP(A284,[1]Tørstofindhold!A$2:B$24,2,FALSE),0)</f>
        <v>209727.37604369727</v>
      </c>
      <c r="W284" s="189">
        <f>J284*IFERROR(VLOOKUP(A284,[1]Tørstofindhold!A$2:B$24,2,FALSE),0)</f>
        <v>188754.63843932757</v>
      </c>
      <c r="X284" s="190">
        <f t="shared" si="96"/>
        <v>20972.7376043697</v>
      </c>
      <c r="Y284" s="170">
        <f t="shared" si="90"/>
        <v>0</v>
      </c>
      <c r="Z284" s="103">
        <f t="shared" si="91"/>
        <v>1</v>
      </c>
    </row>
    <row r="285" spans="1:26" hidden="1" x14ac:dyDescent="0.25">
      <c r="A285" s="191" t="str">
        <f t="shared" si="87"/>
        <v>Svinegylle</v>
      </c>
      <c r="B285" s="191" t="str">
        <f t="shared" si="88"/>
        <v>Husdyrgødning</v>
      </c>
      <c r="C285" s="191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1">
        <f t="shared" si="92"/>
        <v>2050</v>
      </c>
      <c r="E285" s="189" t="s">
        <v>24</v>
      </c>
      <c r="F285" s="192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581889.97753485164</v>
      </c>
      <c r="G285" s="192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9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2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2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523700.97978136648</v>
      </c>
      <c r="K285" s="192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58188.99775348515</v>
      </c>
      <c r="L285" s="192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6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1">
        <f t="shared" si="93"/>
        <v>0</v>
      </c>
      <c r="O285" s="192">
        <f t="shared" si="89"/>
        <v>0</v>
      </c>
      <c r="P285" s="202">
        <f t="shared" si="94"/>
        <v>523700.97978136648</v>
      </c>
      <c r="Q285" s="189">
        <f>IFERROR(VLOOKUP(A285,[1]Energiindhold!$A$2:$C$11,3,FALSE),IFERROR(VLOOKUP(A285,[1]Biogasudbytte!$A$2:$B$18,2,FALSE)*[1]Energiindhold!$C$10,0))*O285</f>
        <v>0</v>
      </c>
      <c r="R285" s="189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0.22561038208981271</v>
      </c>
      <c r="S285" s="189">
        <f>IFERROR(VLOOKUP(A285,[1]Biogasudbytte!$A$2:$B$18,2,FALSE)*[1]Energiindhold!$C$10,0)*J285*IFERROR(VLOOKUP(A285,Biogasanlæg!$F$3:$G$8,2,FALSE),1)</f>
        <v>0.22561038208981271</v>
      </c>
      <c r="T285" s="190">
        <f t="shared" si="95"/>
        <v>0</v>
      </c>
      <c r="U285" s="188">
        <f>O285*IFERROR(VLOOKUP(A285,[1]Tørstofindhold!A$2:B$24,2,FALSE),0)</f>
        <v>0</v>
      </c>
      <c r="V285" s="189">
        <f>IF(D285=År1,P285,SUM(O285,P285))*IFERROR(VLOOKUP(A285,[1]Tørstofindhold!A$2:B$24,2,FALSE),0)</f>
        <v>26185.048989068324</v>
      </c>
      <c r="W285" s="189">
        <f>J285*IFERROR(VLOOKUP(A285,[1]Tørstofindhold!A$2:B$24,2,FALSE),0)</f>
        <v>26185.048989068324</v>
      </c>
      <c r="X285" s="190">
        <f t="shared" si="96"/>
        <v>0</v>
      </c>
      <c r="Y285" s="170">
        <f t="shared" si="90"/>
        <v>0</v>
      </c>
      <c r="Z285" s="103">
        <f t="shared" si="91"/>
        <v>0</v>
      </c>
    </row>
    <row r="286" spans="1:26" hidden="1" x14ac:dyDescent="0.25">
      <c r="A286" s="191" t="str">
        <f t="shared" si="87"/>
        <v>Svinekød</v>
      </c>
      <c r="B286" s="191" t="str">
        <f t="shared" si="88"/>
        <v/>
      </c>
      <c r="C286" s="191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1">
        <f t="shared" si="92"/>
        <v>2050</v>
      </c>
      <c r="E286" s="189" t="s">
        <v>24</v>
      </c>
      <c r="F286" s="192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69767.672570394658</v>
      </c>
      <c r="G286" s="192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9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2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55237.148778432362</v>
      </c>
      <c r="J286" s="192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2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2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6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1">
        <f t="shared" si="93"/>
        <v>14530.523791962296</v>
      </c>
      <c r="O286" s="192">
        <f t="shared" si="89"/>
        <v>0</v>
      </c>
      <c r="P286" s="202">
        <f t="shared" si="94"/>
        <v>0</v>
      </c>
      <c r="Q286" s="189">
        <f>IFERROR(VLOOKUP(A286,[1]Energiindhold!$A$2:$C$11,3,FALSE),IFERROR(VLOOKUP(A286,[1]Biogasudbytte!$A$2:$B$18,2,FALSE)*[1]Energiindhold!$C$10,0))*O286</f>
        <v>0</v>
      </c>
      <c r="R286" s="189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9">
        <f>IFERROR(VLOOKUP(A286,[1]Biogasudbytte!$A$2:$B$18,2,FALSE)*[1]Energiindhold!$C$10,0)*J286*IFERROR(VLOOKUP(A286,Biogasanlæg!$F$3:$G$8,2,FALSE),1)</f>
        <v>0</v>
      </c>
      <c r="T286" s="190">
        <f t="shared" si="95"/>
        <v>0</v>
      </c>
      <c r="U286" s="188">
        <f>O286*IFERROR(VLOOKUP(A286,[1]Tørstofindhold!A$2:B$24,2,FALSE),0)</f>
        <v>0</v>
      </c>
      <c r="V286" s="189">
        <f>IF(D286=År1,P286,SUM(O286,P286))*IFERROR(VLOOKUP(A286,[1]Tørstofindhold!A$2:B$24,2,FALSE),0)</f>
        <v>0</v>
      </c>
      <c r="W286" s="189">
        <f>J286*IFERROR(VLOOKUP(A286,[1]Tørstofindhold!A$2:B$24,2,FALSE),0)</f>
        <v>0</v>
      </c>
      <c r="X286" s="190">
        <f t="shared" si="96"/>
        <v>0</v>
      </c>
      <c r="Y286" s="170">
        <f t="shared" si="90"/>
        <v>0</v>
      </c>
      <c r="Z286" s="103">
        <f t="shared" si="91"/>
        <v>1</v>
      </c>
    </row>
    <row r="287" spans="1:26" hidden="1" x14ac:dyDescent="0.25">
      <c r="A287" s="191" t="str">
        <f t="shared" si="87"/>
        <v>Tang</v>
      </c>
      <c r="B287" s="191" t="str">
        <f t="shared" si="88"/>
        <v>Havbiomasse</v>
      </c>
      <c r="C287" s="191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1">
        <f t="shared" si="92"/>
        <v>2050</v>
      </c>
      <c r="E287" s="189" t="s">
        <v>24</v>
      </c>
      <c r="F287" s="192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3375</v>
      </c>
      <c r="G287" s="192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9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2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2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2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2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6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1">
        <f t="shared" si="93"/>
        <v>3375</v>
      </c>
      <c r="O287" s="192">
        <f t="shared" si="89"/>
        <v>3375</v>
      </c>
      <c r="P287" s="202">
        <f t="shared" si="94"/>
        <v>0</v>
      </c>
      <c r="Q287" s="189">
        <f>IFERROR(VLOOKUP(A287,[1]Energiindhold!$A$2:$C$11,3,FALSE),IFERROR(VLOOKUP(A287,[1]Biogasudbytte!$A$2:$B$18,2,FALSE)*[1]Energiindhold!$C$10,0))*O287</f>
        <v>3.0290625000000005E-3</v>
      </c>
      <c r="R287" s="189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3.0290625000000005E-3</v>
      </c>
      <c r="S287" s="189">
        <f>IFERROR(VLOOKUP(A287,[1]Biogasudbytte!$A$2:$B$18,2,FALSE)*[1]Energiindhold!$C$10,0)*J287*IFERROR(VLOOKUP(A287,Biogasanlæg!$F$3:$G$8,2,FALSE),1)</f>
        <v>0</v>
      </c>
      <c r="T287" s="190">
        <f t="shared" si="95"/>
        <v>3.0290625000000005E-3</v>
      </c>
      <c r="U287" s="188">
        <f>O287*IFERROR(VLOOKUP(A287,[1]Tørstofindhold!A$2:B$24,2,FALSE),0)</f>
        <v>506.25</v>
      </c>
      <c r="V287" s="189">
        <f>IF(D287=År1,P287,SUM(O287,P287))*IFERROR(VLOOKUP(A287,[1]Tørstofindhold!A$2:B$24,2,FALSE),0)</f>
        <v>506.25</v>
      </c>
      <c r="W287" s="189">
        <f>J287*IFERROR(VLOOKUP(A287,[1]Tørstofindhold!A$2:B$24,2,FALSE),0)</f>
        <v>0</v>
      </c>
      <c r="X287" s="190">
        <f t="shared" si="96"/>
        <v>506.25</v>
      </c>
      <c r="Y287" s="170">
        <f t="shared" si="90"/>
        <v>0</v>
      </c>
      <c r="Z287" s="103">
        <f t="shared" si="91"/>
        <v>1</v>
      </c>
    </row>
    <row r="288" spans="1:26" hidden="1" x14ac:dyDescent="0.25">
      <c r="A288" s="191" t="str">
        <f t="shared" si="87"/>
        <v>Total til biogas</v>
      </c>
      <c r="B288" s="191" t="str">
        <f t="shared" si="88"/>
        <v/>
      </c>
      <c r="C288" s="191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1">
        <f t="shared" si="92"/>
        <v>2050</v>
      </c>
      <c r="E288" s="189" t="s">
        <v>24</v>
      </c>
      <c r="F288" s="192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2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9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2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2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2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2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6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1">
        <f t="shared" si="93"/>
        <v>0</v>
      </c>
      <c r="O288" s="192">
        <f t="shared" si="89"/>
        <v>0</v>
      </c>
      <c r="P288" s="202">
        <f t="shared" si="94"/>
        <v>0</v>
      </c>
      <c r="Q288" s="189">
        <f>IFERROR(VLOOKUP(A288,[1]Energiindhold!$A$2:$C$11,3,FALSE),IFERROR(VLOOKUP(A288,[1]Biogasudbytte!$A$2:$B$18,2,FALSE)*[1]Energiindhold!$C$10,0))*O288</f>
        <v>0</v>
      </c>
      <c r="R288" s="189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9">
        <f>IFERROR(VLOOKUP(A288,[1]Biogasudbytte!$A$2:$B$18,2,FALSE)*[1]Energiindhold!$C$10,0)*J288*IFERROR(VLOOKUP(A288,Biogasanlæg!$F$3:$G$8,2,FALSE),1)</f>
        <v>0</v>
      </c>
      <c r="T288" s="190">
        <f t="shared" si="95"/>
        <v>0</v>
      </c>
      <c r="U288" s="188">
        <f>O288*IFERROR(VLOOKUP(A288,[1]Tørstofindhold!A$2:B$24,2,FALSE),0)</f>
        <v>0</v>
      </c>
      <c r="V288" s="189">
        <f>IF(D288=År1,P288,SUM(O288,P288))*IFERROR(VLOOKUP(A288,[1]Tørstofindhold!A$2:B$24,2,FALSE),0)</f>
        <v>0</v>
      </c>
      <c r="W288" s="189">
        <f>J288*IFERROR(VLOOKUP(A288,[1]Tørstofindhold!A$2:B$24,2,FALSE),0)</f>
        <v>0</v>
      </c>
      <c r="X288" s="190">
        <f t="shared" si="96"/>
        <v>0</v>
      </c>
      <c r="Y288" s="170">
        <f t="shared" si="90"/>
        <v>0</v>
      </c>
      <c r="Z288" s="103">
        <f t="shared" si="91"/>
        <v>0</v>
      </c>
    </row>
    <row r="289" spans="1:26" hidden="1" x14ac:dyDescent="0.25">
      <c r="A289" s="191" t="str">
        <f t="shared" si="87"/>
        <v>Træ til energi</v>
      </c>
      <c r="B289" s="191" t="str">
        <f t="shared" si="88"/>
        <v>Vedmasse</v>
      </c>
      <c r="C289" s="191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1">
        <f t="shared" si="92"/>
        <v>2050</v>
      </c>
      <c r="E289" s="189" t="s">
        <v>24</v>
      </c>
      <c r="F289" s="192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628453.92541579902</v>
      </c>
      <c r="G289" s="192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9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2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2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2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2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628453.92541579902</v>
      </c>
      <c r="M289" s="156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1">
        <f t="shared" si="93"/>
        <v>0</v>
      </c>
      <c r="O289" s="192">
        <f t="shared" si="89"/>
        <v>0</v>
      </c>
      <c r="P289" s="202">
        <f t="shared" si="94"/>
        <v>628453.92541579902</v>
      </c>
      <c r="Q289" s="189">
        <f>IFERROR(VLOOKUP(A289,[1]Energiindhold!$A$2:$C$11,3,FALSE),IFERROR(VLOOKUP(A289,[1]Biogasudbytte!$A$2:$B$18,2,FALSE)*[1]Energiindhold!$C$10,0))*O289</f>
        <v>0</v>
      </c>
      <c r="R289" s="189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9.1085402689765971</v>
      </c>
      <c r="S289" s="189">
        <f>IFERROR(VLOOKUP(A289,[1]Biogasudbytte!$A$2:$B$18,2,FALSE)*[1]Energiindhold!$C$10,0)*J289*IFERROR(VLOOKUP(A289,Biogasanlæg!$F$3:$G$8,2,FALSE),1)</f>
        <v>0</v>
      </c>
      <c r="T289" s="190">
        <f t="shared" si="95"/>
        <v>9.1085402689765971</v>
      </c>
      <c r="U289" s="188">
        <f>O289*IFERROR(VLOOKUP(A289,[1]Tørstofindhold!A$2:B$24,2,FALSE),0)</f>
        <v>0</v>
      </c>
      <c r="V289" s="189">
        <f>IF(D289=År1,P289,SUM(O289,P289))*IFERROR(VLOOKUP(A289,[1]Tørstofindhold!A$2:B$24,2,FALSE),0)</f>
        <v>310822.83727856394</v>
      </c>
      <c r="W289" s="189">
        <f>J289*IFERROR(VLOOKUP(A289,[1]Tørstofindhold!A$2:B$24,2,FALSE),0)</f>
        <v>0</v>
      </c>
      <c r="X289" s="190">
        <f t="shared" si="96"/>
        <v>310822.83727856394</v>
      </c>
      <c r="Y289" s="170">
        <f t="shared" si="90"/>
        <v>0</v>
      </c>
      <c r="Z289" s="103">
        <f t="shared" si="91"/>
        <v>0</v>
      </c>
    </row>
    <row r="290" spans="1:26" ht="15.75" hidden="1" thickBot="1" x14ac:dyDescent="0.3">
      <c r="A290" s="191" t="str">
        <f t="shared" si="87"/>
        <v>Træmaterialer</v>
      </c>
      <c r="B290" s="191" t="str">
        <f t="shared" si="88"/>
        <v/>
      </c>
      <c r="C290" s="191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1">
        <f t="shared" si="92"/>
        <v>2050</v>
      </c>
      <c r="E290" s="189" t="s">
        <v>24</v>
      </c>
      <c r="F290" s="192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178611.5006135212</v>
      </c>
      <c r="G290" s="192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9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2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2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2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2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6">
        <f>SUMIFS('Forbrug af biomasse'!E:E,'Forbrug af biomasse'!C:C,'Resultat-Produktion &amp; forbrug'!$A290,'Forbrug af biomasse'!D:D,'Resultat-Produktion &amp; forbrug'!$D290,'Forbrug af biomasse'!G:G,1,'Forbrug af biomasse'!B:B,$E290)</f>
        <v>178611.5006135212</v>
      </c>
      <c r="N290" s="203">
        <f t="shared" si="93"/>
        <v>0</v>
      </c>
      <c r="O290" s="204">
        <f t="shared" si="89"/>
        <v>0</v>
      </c>
      <c r="P290" s="205">
        <f t="shared" si="94"/>
        <v>0</v>
      </c>
      <c r="Q290" s="194">
        <f>IFERROR(VLOOKUP(A290,[1]Energiindhold!$A$2:$C$11,3,FALSE),IFERROR(VLOOKUP(A290,[1]Biogasudbytte!$A$2:$B$18,2,FALSE)*[1]Energiindhold!$C$10,0))*O290</f>
        <v>0</v>
      </c>
      <c r="R290" s="194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4">
        <f>IFERROR(VLOOKUP(A290,[1]Biogasudbytte!$A$2:$B$18,2,FALSE)*[1]Energiindhold!$C$10,0)*J290*IFERROR(VLOOKUP(A290,Biogasanlæg!$F$3:$G$8,2,FALSE),1)</f>
        <v>0</v>
      </c>
      <c r="T290" s="195">
        <f t="shared" si="95"/>
        <v>0</v>
      </c>
      <c r="U290" s="193">
        <f>O290*IFERROR(VLOOKUP(A290,[1]Tørstofindhold!A$2:B$24,2,FALSE),0)</f>
        <v>0</v>
      </c>
      <c r="V290" s="194">
        <f>IF(D290=År1,P290,SUM(O290,P290))*IFERROR(VLOOKUP(A290,[1]Tørstofindhold!A$2:B$24,2,FALSE),0)</f>
        <v>0</v>
      </c>
      <c r="W290" s="194">
        <f>J290*IFERROR(VLOOKUP(A290,[1]Tørstofindhold!A$2:B$24,2,FALSE),0)</f>
        <v>0</v>
      </c>
      <c r="X290" s="195">
        <f t="shared" si="96"/>
        <v>0</v>
      </c>
      <c r="Y290" s="170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Halm"/>
      </filters>
    </filterColumn>
    <filterColumn colId="3">
      <filters>
        <filter val="2030"/>
        <filter val="2050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2" t="s">
        <v>23</v>
      </c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281</v>
      </c>
      <c r="X3" s="35">
        <f>C24+C51</f>
        <v>11808068</v>
      </c>
      <c r="Y3" s="11">
        <f>D24+D51</f>
        <v>7080234.6662581172</v>
      </c>
      <c r="Z3" s="23">
        <f>E24+E51</f>
        <v>4048664.902096862</v>
      </c>
    </row>
    <row r="4" spans="1:26" ht="15.75" thickBot="1" x14ac:dyDescent="0.3">
      <c r="A4" s="61"/>
      <c r="B4" s="63"/>
      <c r="C4" s="171">
        <f>År1</f>
        <v>2019</v>
      </c>
      <c r="D4" s="171">
        <f>År1</f>
        <v>2019</v>
      </c>
      <c r="E4" s="171">
        <f>År1</f>
        <v>2019</v>
      </c>
      <c r="F4" s="172">
        <f>År2</f>
        <v>2030</v>
      </c>
      <c r="G4" s="172">
        <f>År2</f>
        <v>2030</v>
      </c>
      <c r="H4" s="172">
        <f>År2</f>
        <v>2030</v>
      </c>
      <c r="I4" s="172">
        <f>År3</f>
        <v>2050</v>
      </c>
      <c r="J4" s="172">
        <f>År3</f>
        <v>2050</v>
      </c>
      <c r="K4" s="172">
        <f>År3</f>
        <v>2050</v>
      </c>
      <c r="L4" s="171">
        <f>År1</f>
        <v>2019</v>
      </c>
      <c r="M4" s="171">
        <f>År1</f>
        <v>2019</v>
      </c>
      <c r="N4" s="171">
        <f>År1</f>
        <v>2019</v>
      </c>
      <c r="O4" s="172">
        <f>År2</f>
        <v>2030</v>
      </c>
      <c r="P4" s="172">
        <f>År2</f>
        <v>2030</v>
      </c>
      <c r="Q4" s="172">
        <f>År2</f>
        <v>2030</v>
      </c>
      <c r="R4" s="172">
        <f>År3</f>
        <v>2050</v>
      </c>
      <c r="S4" s="172">
        <f>År3</f>
        <v>2050</v>
      </c>
      <c r="T4" s="172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797078.81261254835</v>
      </c>
      <c r="Z4" s="23">
        <f t="shared" si="0"/>
        <v>392196.02102091396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16223768.731980292</v>
      </c>
      <c r="Z5" s="24">
        <f t="shared" si="0"/>
        <v>11666360.553300489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454100.88944258494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14557.319038853899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0.24014192427030884</v>
      </c>
      <c r="I6" s="11">
        <f>IF(Landbrug!$E$47&gt;0,SUMIF(Landbrug!$B$32:$B$45,$B6,IF($I$4=År2,Landbrug!$D$32:$D$45,Landbrug!$E$32:$E$45)),'[1]Afgrødefordeling - jordtype'!$G4)*(1-Landbrug!$E$5)*Arealanvendelse!P$26</f>
        <v>279222.43678052042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0.26413872447585557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0.17152994590736345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194614.666903965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6238.8510166516717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0.10291796754441808</v>
      </c>
      <c r="R6" s="11">
        <f>IF(Landbrug!$E$47&gt;0,SUMIF(Landbrug!$B$32:$B$45,$B6,IF($R$4=År2,Landbrug!$D$32:$D$45,Landbrug!$E$32:$E$45)),'[1]Afgrødefordeling - jordtype'!$G4)*(Landbrug!$E$5)*Arealanvendelse!P$26</f>
        <v>279222.43678052042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0.26413872447585557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0.17152994590736345</v>
      </c>
      <c r="U6" s="94"/>
      <c r="W6" s="31" t="s">
        <v>284</v>
      </c>
      <c r="X6" s="34">
        <f t="shared" ref="X6:Z8" si="1">F24+F51</f>
        <v>490924</v>
      </c>
      <c r="Y6" s="11">
        <f t="shared" si="1"/>
        <v>2533146.5837418824</v>
      </c>
      <c r="Z6" s="23">
        <f t="shared" si="1"/>
        <v>2879105.5979031376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130554.00571474319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1247.9145723844704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1.3827185240981857E-2</v>
      </c>
      <c r="I7" s="11">
        <f>IF(Landbrug!$E$47&gt;0,SUMIF(Landbrug!$B$32:$B$45,$B7,IF($I$4=År2,Landbrug!$D$32:$D$45,Landbrug!$E$32:$E$45)),'[1]Afgrødefordeling - jordtype'!$G5)*(1-Landbrug!$E$5)*Arealanvendelse!P$26</f>
        <v>78880.338390497025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2.2643081636439695E-2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9.8765608864156123E-3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55951.716734889946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534.82053102191583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5.9259365318493672E-3</v>
      </c>
      <c r="R7" s="11">
        <f>IF(Landbrug!$E$47&gt;0,SUMIF(Landbrug!$B$32:$B$45,$B7,IF($R$4=År2,Landbrug!$D$32:$D$45,Landbrug!$E$32:$E$45)),'[1]Afgrødefordeling - jordtype'!$G5)*(Landbrug!$E$5)*Arealanvendelse!P$26</f>
        <v>78880.338390497025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2.2643081636439695E-2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9.8765608864156123E-3</v>
      </c>
      <c r="U7" s="94"/>
      <c r="W7" s="31" t="s">
        <v>285</v>
      </c>
      <c r="X7" s="34">
        <f t="shared" si="1"/>
        <v>224348</v>
      </c>
      <c r="Y7" s="11">
        <f t="shared" si="1"/>
        <v>346237.18738745159</v>
      </c>
      <c r="Z7" s="23">
        <f t="shared" si="1"/>
        <v>403003.97897908604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103307.95234818808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1336.2457077623992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1.7905578760527514E-2</v>
      </c>
      <c r="I8" s="11">
        <f>IF(Landbrug!$E$47&gt;0,SUMIF(Landbrug!$B$32:$B$45,$B8,IF($I$4=År2,Landbrug!$D$32:$D$45,Landbrug!$E$32:$E$45)),'[1]Afgrødefordeling - jordtype'!$G6)*(1-Landbrug!$E$5)*Arealanvendelse!P$26</f>
        <v>71899.777470984001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2.42458268512665E-2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1.2789699114662512E-2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44274.836720652034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572.67673189817094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7.673819468797507E-3</v>
      </c>
      <c r="R8" s="11">
        <f>IF(Landbrug!$E$47&gt;0,SUMIF(Landbrug!$B$32:$B$45,$B8,IF($R$4=År2,Landbrug!$D$32:$D$45,Landbrug!$E$32:$E$45)),'[1]Afgrødefordeling - jordtype'!$G6)*(Landbrug!$E$5)*Arealanvendelse!P$26</f>
        <v>71899.777470984001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2.42458268512665E-2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1.2789699114662512E-2</v>
      </c>
      <c r="U8" s="94"/>
      <c r="W8" s="46" t="s">
        <v>286</v>
      </c>
      <c r="X8" s="47">
        <f t="shared" si="1"/>
        <v>3277287</v>
      </c>
      <c r="Y8" s="16">
        <f t="shared" si="1"/>
        <v>6836112.2680197069</v>
      </c>
      <c r="Z8" s="24">
        <f t="shared" si="1"/>
        <v>11393520.446699511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147582.78906884012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12331.347057352174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0.41295916925078141</v>
      </c>
      <c r="I9" s="11">
        <f>IF(Landbrug!$E$47&gt;0,SUMIF(Landbrug!$B$32:$B$45,$B9,IF($I$4=År2,Landbrug!$D$32:$D$45,Landbrug!$E$32:$E$45)),'[1]Afgrødefordeling - jordtype'!$G7)*(1-Landbrug!$E$5)*Arealanvendelse!P$26</f>
        <v>62825.048275617097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0.22374904844117072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0.29497083517912959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63249.766743788627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5284.8630245795039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0.17698250110747776</v>
      </c>
      <c r="R9" s="11">
        <f>IF(Landbrug!$E$47&gt;0,SUMIF(Landbrug!$B$32:$B$45,$B9,IF($R$4=År2,Landbrug!$D$32:$D$45,Landbrug!$E$32:$E$45)),'[1]Afgrødefordeling - jordtype'!$G7)*(Landbrug!$E$5)*Arealanvendelse!P$26</f>
        <v>62825.048275617097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0.22374904844117072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0.29497083517912959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45410.088944258496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57.67417401848089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4.7998760752444386E-4</v>
      </c>
      <c r="I10" s="11">
        <f>IF(Landbrug!$E$47&gt;0,SUMIF(Landbrug!$B$32:$B$45,$B10,IF($I$4=År2,Landbrug!$D$32:$D$45,Landbrug!$E$32:$E$45)),'[1]Afgrødefordeling - jordtype'!$G8)*(1-Landbrug!$E$5)*Arealanvendelse!P$26</f>
        <v>27922.243678052044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1.0464827156552753E-3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3.4284829108888854E-4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19461.466690396501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24.717503150777528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2.0570897465333309E-4</v>
      </c>
      <c r="R10" s="11">
        <f>IF(Landbrug!$E$47&gt;0,SUMIF(Landbrug!$B$32:$B$45,$B10,IF($R$4=År2,Landbrug!$D$32:$D$45,Landbrug!$E$32:$E$45)),'[1]Afgrødefordeling - jordtype'!$G8)*(Landbrug!$E$5)*Arealanvendelse!P$26</f>
        <v>27922.243678052044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1.0464827156552753E-3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3.4284829108888854E-4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34057.566708193874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910.52572173905708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2.5405884819884754E-2</v>
      </c>
      <c r="I11" s="11">
        <f>IF(Landbrug!$E$47&gt;0,SUMIF(Landbrug!$B$32:$B$45,$B11,IF($I$4=År2,Landbrug!$D$32:$D$45,Landbrug!$E$32:$E$45)),'[1]Afgrødefordeling - jordtype'!$G9)*(1-Landbrug!$E$5)*Arealanvendelse!P$26</f>
        <v>20941.682758539031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1.6521249695819491E-2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1.814706058563197E-2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14596.100017797375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390.22530931673873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1.088823635137918E-2</v>
      </c>
      <c r="R11" s="11">
        <f>IF(Landbrug!$E$47&gt;0,SUMIF(Landbrug!$B$32:$B$45,$B11,IF($R$4=År2,Landbrug!$D$32:$D$45,Landbrug!$E$32:$E$45)),'[1]Afgrødefordeling - jordtype'!$G9)*(Landbrug!$E$5)*Arealanvendelse!P$26</f>
        <v>20941.682758539031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1.6521249695819491E-2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1.814706058563197E-2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5676.261118032312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23.887933150205988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2.7474083124338298E-4</v>
      </c>
      <c r="I12" s="11">
        <f>IF(Landbrug!$E$47&gt;0,SUMIF(Landbrug!$B$32:$B$45,$B12,IF($I$4=År2,Landbrug!$D$32:$D$45,Landbrug!$E$32:$E$45)),'[1]Afgrødefordeling - jordtype'!$G10)*(1-Landbrug!$E$5)*Arealanvendelse!P$26</f>
        <v>3490.2804597565055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4.334402629920434E-4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1.962434508881307E-4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2432.6833362995626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10.237685635802565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1.1774607053287841E-4</v>
      </c>
      <c r="R12" s="11">
        <f>IF(Landbrug!$E$47&gt;0,SUMIF(Landbrug!$B$32:$B$45,$B12,IF($R$4=År2,Landbrug!$D$32:$D$45,Landbrug!$E$32:$E$45)),'[1]Afgrødefordeling - jordtype'!$G10)*(Landbrug!$E$5)*Arealanvendelse!P$26</f>
        <v>3490.2804597565055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4.334402629920434E-4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1.962434508881307E-4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56762.611180323118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3083.5731934985547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3.4166711964234063E-2</v>
      </c>
      <c r="I13" s="11">
        <f>IF(Landbrug!$E$47&gt;0,SUMIF(Landbrug!$B$32:$B$45,$B13,IF($I$4=År2,Landbrug!$D$32:$D$45,Landbrug!$E$32:$E$45)),'[1]Afgrødefordeling - jordtype'!$G11)*(1-Landbrug!$E$5)*Arealanvendelse!P$26</f>
        <v>27922.243678052044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5.5950624423683287E-2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2.440479426016719E-2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24326.833362995625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1321.5313686422378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1.4642876556100312E-2</v>
      </c>
      <c r="R13" s="11">
        <f>IF(Landbrug!$E$47&gt;0,SUMIF(Landbrug!$B$32:$B$45,$B13,IF($R$4=År2,Landbrug!$D$32:$D$45,Landbrug!$E$32:$E$45)),'[1]Afgrødefordeling - jordtype'!$G11)*(Landbrug!$E$5)*Arealanvendelse!P$26</f>
        <v>27922.243678052044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5.5950624423683287E-2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2.440479426016719E-2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11352.522236064624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52.531320160301121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9.7911413909652196E-4</v>
      </c>
      <c r="I14" s="11">
        <f>IF(Landbrug!$E$47&gt;0,SUMIF(Landbrug!$B$32:$B$45,$B14,IF($I$4=År2,Landbrug!$D$32:$D$45,Landbrug!$E$32:$E$45)),'[1]Afgrødefordeling - jordtype'!$G12)*(1-Landbrug!$E$5)*Arealanvendelse!P$26</f>
        <v>6980.560919513011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9.5316698529038766E-4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6.993672422118014E-4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4865.3666725991252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22.51342292584334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4.1962034532708084E-4</v>
      </c>
      <c r="R14" s="11">
        <f>IF(Landbrug!$E$47&gt;0,SUMIF(Landbrug!$B$32:$B$45,$B14,IF($R$4=År2,Landbrug!$D$32:$D$45,Landbrug!$E$32:$E$45)),'[1]Afgrødefordeling - jordtype'!$G12)*(Landbrug!$E$5)*Arealanvendelse!P$26</f>
        <v>6980.560919513011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9.5316698529038766E-4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6.993672422118014E-4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31751.49505701059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929.06374843043989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1.7316516117135472E-2</v>
      </c>
      <c r="I15" s="11">
        <f>IF(Landbrug!$E$47&gt;0,SUMIF(Landbrug!$B$32:$B$45,$B15,IF($I$4=År2,Landbrug!$D$32:$D$45,Landbrug!$E$32:$E$45)),'[1]Afgrødefordeling - jordtype'!$G13)*(1-Landbrug!$E$5)*Arealanvendelse!P$26</f>
        <v>19523.70062988855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1.685761731347574E-2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1.2368940083668194E-2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13607.783595861683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398.1701778987599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7.4213640502009169E-3</v>
      </c>
      <c r="R15" s="11">
        <f>IF(Landbrug!$E$47&gt;0,SUMIF(Landbrug!$B$32:$B$45,$B15,IF($R$4=År2,Landbrug!$D$32:$D$45,Landbrug!$E$32:$E$45)),'[1]Afgrødefordeling - jordtype'!$G13)*(Landbrug!$E$5)*Arealanvendelse!P$26</f>
        <v>19523.70062988855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1.685761731347574E-2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1.2368940083668194E-2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45858.862448153115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2293.2033112517015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5.5095364744618444E-2</v>
      </c>
      <c r="I16" s="11">
        <f>IF(Landbrug!$E$47&gt;0,SUMIF(Landbrug!$B$32:$B$45,$B16,IF($I$4=År2,Landbrug!$D$32:$D$45,Landbrug!$E$32:$E$45)),'[1]Afgrødefordeling - jordtype'!$G14)*(1-Landbrug!$E$5)*Arealanvendelse!P$26</f>
        <v>28198.190354733964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4.1609570826959194E-2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3.9353831960441746E-2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19653.79819206562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982.80141910787222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2.3612299176265044E-2</v>
      </c>
      <c r="R16" s="11">
        <f>IF(Landbrug!$E$47&gt;0,SUMIF(Landbrug!$B$32:$B$45,$B16,IF($R$4=År2,Landbrug!$D$32:$D$45,Landbrug!$E$32:$E$45)),'[1]Afgrødefordeling - jordtype'!$G14)*(Landbrug!$E$5)*Arealanvendelse!P$26</f>
        <v>28198.190354733964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4.1609570826959194E-2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3.9353831960441746E-2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8613.084800025772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263.47314981954139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4.9107900862457683E-3</v>
      </c>
      <c r="I17" s="11">
        <f>IF(Landbrug!$E$47&gt;0,SUMIF(Landbrug!$B$32:$B$45,$B17,IF($I$4=År2,Landbrug!$D$32:$D$45,Landbrug!$E$32:$E$45)),'[1]Afgrødefordeling - jordtype'!$G15)*(1-Landbrug!$E$5)*Arealanvendelse!P$26</f>
        <v>5296.1061781063381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4.7806509935808044E-3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3.5077072044612627E-3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3691.3220571539027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112.9170642083749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2.1046243226767575E-3</v>
      </c>
      <c r="R17" s="11">
        <f>IF(Landbrug!$E$47&gt;0,SUMIF(Landbrug!$B$32:$B$45,$B17,IF($R$4=År2,Landbrug!$D$32:$D$45,Landbrug!$E$32:$E$45)),'[1]Afgrødefordeling - jordtype'!$G15)*(Landbrug!$E$5)*Arealanvendelse!P$26</f>
        <v>5296.1061781063381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4.7806509935808044E-3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3.5077072044612627E-3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3312.1091245534226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432.72006555120379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1.1592037098283917E-2</v>
      </c>
      <c r="I18" s="11">
        <f>IF(Landbrug!$E$47&gt;0,SUMIF(Landbrug!$B$32:$B$45,$B18,IF($I$4=År2,Landbrug!$D$32:$D$45,Landbrug!$E$32:$E$45)),'[1]Afgrødefordeling - jordtype'!$G16)*(1-Landbrug!$E$5)*Arealanvendelse!P$26</f>
        <v>2036.585265833824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7.8515917570219224E-3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8.2800264987742279E-3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1419.475339094324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185.45145666480164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4.9680158992645362E-3</v>
      </c>
      <c r="R18" s="11">
        <f>IF(Landbrug!$E$47&gt;0,SUMIF(Landbrug!$B$32:$B$45,$B18,IF($R$4=År2,Landbrug!$D$32:$D$45,Landbrug!$E$32:$E$45)),'[1]Afgrødefordeling - jordtype'!$G16)*(Landbrug!$E$5)*Arealanvendelse!P$26</f>
        <v>2036.585265833824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7.8515917570219224E-3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8.2800264987742279E-3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56762.611180323118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12230.860785508497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0.42873455406185462</v>
      </c>
      <c r="I19" s="11">
        <f>IF(Landbrug!$E$47&gt;0,SUMIF(Landbrug!$B$32:$B$45,$B19,IF($I$4=År2,Landbrug!$D$32:$D$45,Landbrug!$E$32:$E$45)),'[1]Afgrødefordeling - jordtype'!$G17)*(1-Landbrug!$E$5)*Arealanvendelse!P$26</f>
        <v>62825.048275617097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0.22192575147273302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0.30623896718703902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24326.833362995625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5241.7974795036425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0.1837433803122234</v>
      </c>
      <c r="R19" s="11">
        <f>IF(Landbrug!$E$47&gt;0,SUMIF(Landbrug!$B$32:$B$45,$B19,IF($R$4=År2,Landbrug!$D$32:$D$45,Landbrug!$E$32:$E$45)),'[1]Afgrødefordeling - jordtype'!$G17)*(Landbrug!$E$5)*Arealanvendelse!P$26</f>
        <v>62825.048275617097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0.22192575147273302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0.30623896718703902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1135102.8493712947</v>
      </c>
      <c r="G20" s="38">
        <f t="shared" si="2"/>
        <v>49750.339779480928</v>
      </c>
      <c r="H20" s="38">
        <f t="shared" si="2"/>
        <v>1.2637895589927208</v>
      </c>
      <c r="I20" s="38">
        <f t="shared" si="2"/>
        <v>697964.24311571091</v>
      </c>
      <c r="J20" s="38">
        <f t="shared" si="2"/>
        <v>0.90270682785194367</v>
      </c>
      <c r="K20" s="39">
        <f t="shared" si="2"/>
        <v>0.90270682785194345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486472.64973055501</v>
      </c>
      <c r="P20" s="38">
        <f t="shared" si="2"/>
        <v>21321.574191206113</v>
      </c>
      <c r="Q20" s="38">
        <f t="shared" si="2"/>
        <v>0.54162409671116618</v>
      </c>
      <c r="R20" s="38">
        <f t="shared" si="2"/>
        <v>697964.24311571091</v>
      </c>
      <c r="S20" s="38">
        <f t="shared" si="2"/>
        <v>0.90270682785194367</v>
      </c>
      <c r="T20" s="39">
        <f t="shared" si="2"/>
        <v>0.90270682785194345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1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5639782.5749999993</v>
      </c>
      <c r="E24" s="23">
        <f>($F24+$C24)*Landbrug!E11*(1-Landbrug!E6)</f>
        <v>2685610.75</v>
      </c>
      <c r="F24" s="34">
        <f>SUM([1]Dyrehold!E58:G61)</f>
        <v>475477</v>
      </c>
      <c r="G24" s="11">
        <f>($F24+$C24)*Landbrug!D11*Landbrug!D6</f>
        <v>2417049.6749999998</v>
      </c>
      <c r="H24" s="23">
        <f>($F24+$C24)*Landbrug!E11*Landbrug!E6</f>
        <v>2685610.75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731043.6</v>
      </c>
      <c r="E25" s="23">
        <f>($F25+$C25)*Landbrug!E12*(1-Landbrug!E7)</f>
        <v>348116</v>
      </c>
      <c r="F25" s="34">
        <f>SUM([1]Dyrehold!E36:G51)</f>
        <v>207835</v>
      </c>
      <c r="G25" s="11">
        <f>($F25+$C25)*Landbrug!D12*Landbrug!D7</f>
        <v>313304.39999999997</v>
      </c>
      <c r="H25" s="23">
        <f>($F25+$C25)*Landbrug!E12*Landbrug!E7</f>
        <v>348116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14892033.799999999</v>
      </c>
      <c r="E26" s="24">
        <f>($F26+$C26)*Landbrug!E13*(1-Landbrug!E8)</f>
        <v>10637167</v>
      </c>
      <c r="F26" s="47">
        <f>SUM([1]Dyrehold!E65:G78)</f>
        <v>3062300</v>
      </c>
      <c r="G26" s="16">
        <f>($F26+$C26)*Landbrug!D13*Landbrug!D8</f>
        <v>6382300.2000000002</v>
      </c>
      <c r="H26" s="24">
        <f>($F26+$C26)*Landbrug!E13*Landbrug!E8</f>
        <v>10637167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5" t="s">
        <v>24</v>
      </c>
      <c r="B29" s="376"/>
      <c r="C29" s="376"/>
      <c r="D29" s="376"/>
      <c r="E29" s="376"/>
      <c r="F29" s="376"/>
      <c r="G29" s="376"/>
      <c r="H29" s="376"/>
      <c r="I29" s="376"/>
      <c r="J29" s="376"/>
      <c r="K29" s="376"/>
      <c r="L29" s="376"/>
      <c r="M29" s="376"/>
      <c r="N29" s="376"/>
      <c r="O29" s="376"/>
      <c r="P29" s="376"/>
      <c r="Q29" s="376"/>
      <c r="R29" s="376"/>
      <c r="S29" s="376"/>
      <c r="T29" s="376"/>
      <c r="U29" s="377"/>
    </row>
    <row r="30" spans="1:21" x14ac:dyDescent="0.25">
      <c r="A30" s="56"/>
      <c r="B30" s="53"/>
      <c r="C30" s="378" t="s">
        <v>7</v>
      </c>
      <c r="D30" s="379"/>
      <c r="E30" s="379"/>
      <c r="F30" s="379"/>
      <c r="G30" s="379"/>
      <c r="H30" s="379"/>
      <c r="I30" s="379"/>
      <c r="J30" s="379"/>
      <c r="K30" s="380"/>
      <c r="L30" s="378" t="s">
        <v>8</v>
      </c>
      <c r="M30" s="379"/>
      <c r="N30" s="379"/>
      <c r="O30" s="379"/>
      <c r="P30" s="379"/>
      <c r="Q30" s="379"/>
      <c r="R30" s="379"/>
      <c r="S30" s="379"/>
      <c r="T30" s="380"/>
      <c r="U30" s="53"/>
    </row>
    <row r="31" spans="1:21" ht="15.75" thickBot="1" x14ac:dyDescent="0.3">
      <c r="A31" s="56"/>
      <c r="B31" s="55"/>
      <c r="C31" s="171">
        <f>År1</f>
        <v>2019</v>
      </c>
      <c r="D31" s="171">
        <f>År1</f>
        <v>2019</v>
      </c>
      <c r="E31" s="171">
        <f>År1</f>
        <v>2019</v>
      </c>
      <c r="F31" s="172">
        <f>År2</f>
        <v>2030</v>
      </c>
      <c r="G31" s="172">
        <f>År2</f>
        <v>2030</v>
      </c>
      <c r="H31" s="172">
        <f>År2</f>
        <v>2030</v>
      </c>
      <c r="I31" s="172">
        <f>År3</f>
        <v>2050</v>
      </c>
      <c r="J31" s="172">
        <f>År3</f>
        <v>2050</v>
      </c>
      <c r="K31" s="172">
        <f>År3</f>
        <v>2050</v>
      </c>
      <c r="L31" s="171">
        <f>År1</f>
        <v>2019</v>
      </c>
      <c r="M31" s="171">
        <f>År1</f>
        <v>2019</v>
      </c>
      <c r="N31" s="171">
        <f>År1</f>
        <v>2019</v>
      </c>
      <c r="O31" s="172">
        <f>År2</f>
        <v>2030</v>
      </c>
      <c r="P31" s="172">
        <f>År2</f>
        <v>2030</v>
      </c>
      <c r="Q31" s="172">
        <f>År2</f>
        <v>2030</v>
      </c>
      <c r="R31" s="172">
        <f>År3</f>
        <v>2050</v>
      </c>
      <c r="S31" s="172">
        <f>År3</f>
        <v>2050</v>
      </c>
      <c r="T31" s="172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147797.19055741493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2058.345238468457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3.7027113919355294E-2</v>
      </c>
      <c r="I33" s="11">
        <f>IF(Landbrug!$E$47&gt;0,SUMIF(Landbrug!$B$32:$B$45,$B33,IF($I$31=År2,Landbrug!$D$32:$D$45,Landbrug!$E$32:$E$45)),'[1]Afgrødefordeling - jordtype'!$P4)*(1-Landbrug!$E$5)*Arealanvendelse!P$36</f>
        <v>100704.76321947954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3.7348132878940656E-2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2.6447938513825212E-2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63341.653096034977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882.14795934362451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1.5868763108295127E-2</v>
      </c>
      <c r="R33" s="11">
        <f>IF(Landbrug!$E$47&gt;0,SUMIF(Landbrug!$B$32:$B$45,$B33,IF($R$31=År2,Landbrug!$D$32:$D$45,Landbrug!$E$32:$E$45)),'[1]Afgrødefordeling - jordtype'!$P4)*(Landbrug!$E$5)*Arealanvendelse!P$36</f>
        <v>100704.76321947954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3.7348132878940656E-2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2.6447938513825212E-2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42491.692285256802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55.660945475510907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6.7253448927833304E-4</v>
      </c>
      <c r="I34" s="11">
        <f>IF(Landbrug!$E$47&gt;0,SUMIF(Landbrug!$B$32:$B$45,$B34,IF($I$31=År2,Landbrug!$D$32:$D$45,Landbrug!$E$32:$E$45)),'[1]Afgrødefordeling - jordtype'!$P5)*(1-Landbrug!$E$5)*Arealanvendelse!P$36</f>
        <v>28449.095609502972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1.0099532133558114E-3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4.8038177805595223E-4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18210.725265110057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23.854690918076102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2.8822906683357132E-4</v>
      </c>
      <c r="R34" s="11">
        <f>IF(Landbrug!$E$47&gt;0,SUMIF(Landbrug!$B$32:$B$45,$B34,IF($R$31=År2,Landbrug!$D$32:$D$45,Landbrug!$E$32:$E$45)),'[1]Afgrødefordeling - jordtype'!$P5)*(Landbrug!$E$5)*Arealanvendelse!P$36</f>
        <v>28449.095609502972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1.0099532133558114E-3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4.8038177805595223E-4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33623.8608518119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224.82325375771026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3.2851736129046157E-3</v>
      </c>
      <c r="I35" s="11">
        <f>IF(Landbrug!$E$47&gt;0,SUMIF(Landbrug!$B$32:$B$45,$B35,IF($I$31=År2,Landbrug!$D$32:$D$45,Landbrug!$E$32:$E$45)),'[1]Afgrødefordeling - jordtype'!$P6)*(1-Landbrug!$E$5)*Arealanvendelse!P$36</f>
        <v>25931.476529015981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4.0793587969073985E-3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2.346552580646154E-3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14410.226079347956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96.352823039018702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1.4079315483876923E-3</v>
      </c>
      <c r="R35" s="11">
        <f>IF(Landbrug!$E$47&gt;0,SUMIF(Landbrug!$B$32:$B$45,$B35,IF($R$31=År2,Landbrug!$D$32:$D$45,Landbrug!$E$32:$E$45)),'[1]Afgrødefordeling - jordtype'!$P6)*(Landbrug!$E$5)*Arealanvendelse!P$36</f>
        <v>25931.476529015981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4.0793587969073985E-3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2.346552580646154E-3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48034.086931159858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661.07456778336234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2.4141380399768712E-2</v>
      </c>
      <c r="I36" s="11">
        <f>IF(Landbrug!$E$47&gt;0,SUMIF(Landbrug!$B$32:$B$45,$B36,IF($I$31=År2,Landbrug!$D$32:$D$45,Landbrug!$E$32:$E$45)),'[1]Afgrødefordeling - jordtype'!$P7)*(1-Landbrug!$E$5)*Arealanvendelse!P$36</f>
        <v>22658.571724382895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1.1995024128620996E-2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1.724384314269194E-2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20586.037256211366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283.31767190715527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1.0346305885615165E-2</v>
      </c>
      <c r="R36" s="11">
        <f>IF(Landbrug!$E$47&gt;0,SUMIF(Landbrug!$B$32:$B$45,$B36,IF($R$31=År2,Landbrug!$D$32:$D$45,Landbrug!$E$32:$E$45)),'[1]Afgrødefordeling - jordtype'!$P7)*(Landbrug!$E$5)*Arealanvendelse!P$36</f>
        <v>22658.571724382895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1.1995024128620996E-2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1.724384314269194E-2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14779.719055741494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12.520036390025359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1.1362379471386713E-4</v>
      </c>
      <c r="I37" s="11">
        <f>IF(Landbrug!$E$47&gt;0,SUMIF(Landbrug!$B$32:$B$45,$B37,IF($I$31=År2,Landbrug!$D$32:$D$45,Landbrug!$E$32:$E$45)),'[1]Afgrødefordeling - jordtype'!$P8)*(1-Landbrug!$E$5)*Arealanvendelse!P$36</f>
        <v>10070.476321947954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2.27172766747217E-4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8.1159853367047952E-5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6334.1653096034979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5.3657298814394387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4.8695912020228768E-5</v>
      </c>
      <c r="R37" s="11">
        <f>IF(Landbrug!$E$47&gt;0,SUMIF(Landbrug!$B$32:$B$45,$B37,IF($R$31=År2,Landbrug!$D$32:$D$45,Landbrug!$E$32:$E$45)),'[1]Afgrødefordeling - jordtype'!$P8)*(Landbrug!$E$5)*Arealanvendelse!P$36</f>
        <v>10070.476321947954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2.27172766747217E-4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8.1159853367047952E-5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11084.789291806121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21.285207726900612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6.4764207543260431E-4</v>
      </c>
      <c r="I38" s="11">
        <f>IF(Landbrug!$E$47&gt;0,SUMIF(Landbrug!$B$32:$B$45,$B38,IF($I$31=År2,Landbrug!$D$32:$D$45,Landbrug!$E$32:$E$45)),'[1]Afgrødefordeling - jordtype'!$P9)*(1-Landbrug!$E$5)*Arealanvendelse!P$36</f>
        <v>7552.8572414609653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3.8621449486852974E-4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4.6260148245186024E-4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4750.6239822026228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9.1222318829574061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2.7756088947111617E-4</v>
      </c>
      <c r="R38" s="11">
        <f>IF(Landbrug!$E$47&gt;0,SUMIF(Landbrug!$B$32:$B$45,$B38,IF($R$31=År2,Landbrug!$D$32:$D$45,Landbrug!$E$32:$E$45)),'[1]Afgrødefordeling - jordtype'!$P9)*(Landbrug!$E$5)*Arealanvendelse!P$36</f>
        <v>7552.8572414609653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3.8621449486852974E-4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4.6260148245186024E-4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1847.4648819676868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59.466392203805022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7.4581528668985083E-4</v>
      </c>
      <c r="I39" s="11">
        <f>IF(Landbrug!$E$47&gt;0,SUMIF(Landbrug!$B$32:$B$45,$B39,IF($I$31=År2,Landbrug!$D$32:$D$45,Landbrug!$E$32:$E$45)),'[1]Afgrødefordeling - jordtype'!$P10)*(1-Landbrug!$E$5)*Arealanvendelse!P$36</f>
        <v>1258.8095402434942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1.079002043171071E-3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5.3272520477846486E-4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791.77066370043724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25.485596658773581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3.1963512286707895E-4</v>
      </c>
      <c r="R39" s="11">
        <f>IF(Landbrug!$E$47&gt;0,SUMIF(Landbrug!$B$32:$B$45,$B39,IF($R$31=År2,Landbrug!$D$32:$D$45,Landbrug!$E$32:$E$45)),'[1]Afgrødefordeling - jordtype'!$P10)*(Landbrug!$E$5)*Arealanvendelse!P$36</f>
        <v>1258.8095402434942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1.079002043171071E-3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5.3272520477846486E-4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18474.648819676866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63.400350767182147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7.6604739928526388E-4</v>
      </c>
      <c r="I40" s="11">
        <f>IF(Landbrug!$E$47&gt;0,SUMIF(Landbrug!$B$32:$B$45,$B40,IF($I$31=År2,Landbrug!$D$32:$D$45,Landbrug!$E$32:$E$45)),'[1]Afgrødefordeling - jordtype'!$P11)*(1-Landbrug!$E$5)*Arealanvendelse!P$36</f>
        <v>10070.476321947954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1.1503826864272908E-3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5.471767137751885E-4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7917.7066370043722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27.171578900220926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3.2830602826511312E-4</v>
      </c>
      <c r="R40" s="11">
        <f>IF(Landbrug!$E$47&gt;0,SUMIF(Landbrug!$B$32:$B$45,$B40,IF($R$31=År2,Landbrug!$D$32:$D$45,Landbrug!$E$32:$E$45)),'[1]Afgrødefordeling - jordtype'!$P11)*(Landbrug!$E$5)*Arealanvendelse!P$36</f>
        <v>10070.476321947954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1.1503826864272908E-3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5.471767137751885E-4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3694.9297639353736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13.676758952114534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2.7797981183837455E-4</v>
      </c>
      <c r="I41" s="11">
        <f>IF(Landbrug!$E$47&gt;0,SUMIF(Landbrug!$B$32:$B$45,$B41,IF($I$31=År2,Landbrug!$D$32:$D$45,Landbrug!$E$32:$E$45)),'[1]Afgrødefordeling - jordtype'!$P12)*(1-Landbrug!$E$5)*Arealanvendelse!P$36</f>
        <v>2517.6190804869884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2.4816119334620677E-4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1.9855700845598185E-4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1583.5413274008745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5.8614681223348013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1.1913420507358911E-4</v>
      </c>
      <c r="R41" s="11">
        <f>IF(Landbrug!$E$47&gt;0,SUMIF(Landbrug!$B$32:$B$45,$B41,IF($R$31=År2,Landbrug!$D$32:$D$45,Landbrug!$E$32:$E$45)),'[1]Afgrødefordeling - jordtype'!$P12)*(Landbrug!$E$5)*Arealanvendelse!P$36</f>
        <v>2517.6190804869884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2.4816119334620677E-4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1.9855700845598185E-4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10334.22720484927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97.658692306205097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1.9849106799870479E-3</v>
      </c>
      <c r="I42" s="11">
        <f>IF(Landbrug!$E$47&gt;0,SUMIF(Landbrug!$B$32:$B$45,$B42,IF($I$31=År2,Landbrug!$D$32:$D$45,Landbrug!$E$32:$E$45)),'[1]Afgrødefordeling - jordtype'!$P13)*(1-Landbrug!$E$5)*Arealanvendelse!P$36</f>
        <v>7041.4457798260073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1.7719912815741289E-3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1.4177933428478914E-3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4428.9545163639732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41.8537252740879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8.5067600570873478E-4</v>
      </c>
      <c r="R42" s="11">
        <f>IF(Landbrug!$E$47&gt;0,SUMIF(Landbrug!$B$32:$B$45,$B42,IF($R$31=År2,Landbrug!$D$32:$D$45,Landbrug!$E$32:$E$45)),'[1]Afgrødefordeling - jordtype'!$P13)*(Landbrug!$E$5)*Arealanvendelse!P$36</f>
        <v>7041.4457798260073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1.7719912815741289E-3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1.4177933428478914E-3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14925.782330697086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708.99747499699004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1.8575146504759429E-2</v>
      </c>
      <c r="I43" s="11">
        <f>IF(Landbrug!$E$47&gt;0,SUMIF(Landbrug!$B$32:$B$45,$B43,IF($I$31=År2,Landbrug!$D$32:$D$45,Landbrug!$E$32:$E$45)),'[1]Afgrødefordeling - jordtype'!$P14)*(1-Landbrug!$E$5)*Arealanvendelse!P$36</f>
        <v>10169.999644847319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1.2864572673301218E-2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1.3267961789113878E-2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6396.7638560130372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303.85606071299577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7.9607770734683274E-3</v>
      </c>
      <c r="R43" s="11">
        <f>IF(Landbrug!$E$47&gt;0,SUMIF(Landbrug!$B$32:$B$45,$B43,IF($R$31=År2,Landbrug!$D$32:$D$45,Landbrug!$E$32:$E$45)),'[1]Afgrødefordeling - jordtype'!$P14)*(Landbrug!$E$5)*Arealanvendelse!P$36</f>
        <v>10169.999644847319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1.2864572673301218E-2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1.3267961789113878E-2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2803.3191853889462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21.431403448502294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4.3559278326872034E-4</v>
      </c>
      <c r="I44" s="11">
        <f>IF(Landbrug!$E$47&gt;0,SUMIF(Landbrug!$B$32:$B$45,$B44,IF($I$31=År2,Landbrug!$D$32:$D$45,Landbrug!$E$32:$E$45)),'[1]Afgrødefordeling - jordtype'!$P15)*(1-Landbrug!$E$5)*Arealanvendelse!P$36</f>
        <v>1910.101225392033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3.8886717777840684E-4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3.1113770233480025E-4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1201.4225080238341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9.1848871922152693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1.8668262140088016E-4</v>
      </c>
      <c r="R44" s="11">
        <f>IF(Landbrug!$E$47&gt;0,SUMIF(Landbrug!$B$32:$B$45,$B44,IF($R$31=År2,Landbrug!$D$32:$D$45,Landbrug!$E$32:$E$45)),'[1]Afgrødefordeling - jordtype'!$P15)*(Landbrug!$E$5)*Arealanvendelse!P$36</f>
        <v>1910.101225392033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3.8886717777840684E-4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3.1113770233480025E-4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1077.9992614184657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45.485442530480874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1.328740612923937E-3</v>
      </c>
      <c r="I45" s="11">
        <f>IF(Landbrug!$E$47&gt;0,SUMIF(Landbrug!$B$32:$B$45,$B45,IF($I$31=År2,Landbrug!$D$32:$D$45,Landbrug!$E$32:$E$45)),'[1]Afgrødefordeling - jordtype'!$P16)*(1-Landbrug!$E$5)*Arealanvendelse!P$36</f>
        <v>734.51775343285783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8.2532138920963214E-4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9.4910043780281215E-4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461.99968346505676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19.493761084491805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5.6946026268168721E-4</v>
      </c>
      <c r="R45" s="11">
        <f>IF(Landbrug!$E$47&gt;0,SUMIF(Landbrug!$B$32:$B$45,$B45,IF($R$31=År2,Landbrug!$D$32:$D$45,Landbrug!$E$32:$E$45)),'[1]Afgrødefordeling - jordtype'!$P16)*(Landbrug!$E$5)*Arealanvendelse!P$36</f>
        <v>734.51775343285783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8.2532138920963214E-4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9.4910043780281215E-4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18474.648819676866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1318.2344557118079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4.6208739632616271E-2</v>
      </c>
      <c r="I46" s="11">
        <f>IF(Landbrug!$E$47&gt;0,SUMIF(Landbrug!$B$32:$B$45,$B46,IF($I$31=År2,Landbrug!$D$32:$D$45,Landbrug!$E$32:$E$45)),'[1]Afgrødefordeling - jordtype'!$P17)*(1-Landbrug!$E$5)*Arealanvendelse!P$36</f>
        <v>22658.571724382895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2.3919017421079283E-2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3.3006242594725912E-2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7917.7066370043722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564.95762387648915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1.9803745556835544E-2</v>
      </c>
      <c r="R46" s="11">
        <f>IF(Landbrug!$E$47&gt;0,SUMIF(Landbrug!$B$32:$B$45,$B46,IF($R$31=År2,Landbrug!$D$32:$D$45,Landbrug!$E$32:$E$45)),'[1]Afgrødefordeling - jordtype'!$P17)*(Landbrug!$E$5)*Arealanvendelse!P$36</f>
        <v>22658.571724382895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2.3919017421079283E-2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3.3006242594725912E-2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369444.35924080177</v>
      </c>
      <c r="G47" s="38">
        <f t="shared" si="3"/>
        <v>5362.0602205190544</v>
      </c>
      <c r="H47" s="38">
        <f t="shared" si="3"/>
        <v>0.13621044100282234</v>
      </c>
      <c r="I47" s="38">
        <f t="shared" si="3"/>
        <v>251728.78171634988</v>
      </c>
      <c r="J47" s="38">
        <f t="shared" si="3"/>
        <v>9.7293172145327844E-2</v>
      </c>
      <c r="K47" s="39">
        <f t="shared" si="3"/>
        <v>9.7293172144873097E-2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158333.29681748638</v>
      </c>
      <c r="P47" s="38">
        <f t="shared" si="3"/>
        <v>2298.025808793881</v>
      </c>
      <c r="Q47" s="38">
        <f t="shared" si="3"/>
        <v>5.8375903286923853E-2</v>
      </c>
      <c r="R47" s="38">
        <f t="shared" si="3"/>
        <v>251728.78171634988</v>
      </c>
      <c r="S47" s="38">
        <f t="shared" si="3"/>
        <v>9.7293172145327844E-2</v>
      </c>
      <c r="T47" s="39">
        <f t="shared" si="3"/>
        <v>9.7293172144873097E-2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1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1440452.0912581175</v>
      </c>
      <c r="E51" s="23">
        <f>SUM([1]Dyrehold!$E$22:$E$23)-H51</f>
        <v>1363054.1520968622</v>
      </c>
      <c r="F51" s="50">
        <f>SUM([1]Dyrehold!C58:D61)</f>
        <v>15447</v>
      </c>
      <c r="G51" s="11">
        <f>$F51/Landbrug!$C6*Landbrug!D6</f>
        <v>116096.90874188265</v>
      </c>
      <c r="H51" s="23">
        <f>$F51/Landbrug!$C6*Landbrug!E6</f>
        <v>193494.84790313776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66035.212612548363</v>
      </c>
      <c r="E52" s="23">
        <f>SUM([1]Dyrehold!$D$22:$D$23)-H52</f>
        <v>44080.021020913933</v>
      </c>
      <c r="F52" s="50">
        <f>SUM([1]Dyrehold!C36:D51)</f>
        <v>16513</v>
      </c>
      <c r="G52" s="11">
        <f>$F52/Landbrug!$C7*Landbrug!D7</f>
        <v>32932.787387451637</v>
      </c>
      <c r="H52" s="23">
        <f>$F52/Landbrug!$C7*Landbrug!E7</f>
        <v>54887.978979086067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1331734.9319802935</v>
      </c>
      <c r="E53" s="24">
        <f>SUM([1]Dyrehold!$F$22:$F$23)-H53</f>
        <v>1029193.5533004892</v>
      </c>
      <c r="F53" s="51">
        <f>SUM([1]Dyrehold!C65:D78)</f>
        <v>214987</v>
      </c>
      <c r="G53" s="16">
        <f>$F53/Landbrug!$C8*Landbrug!D8</f>
        <v>453812.06801970646</v>
      </c>
      <c r="H53" s="24">
        <f>$F53/Landbrug!$C8*Landbrug!E8</f>
        <v>756353.44669951079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AC202" sqref="AC202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175</v>
      </c>
      <c r="B3" s="77" t="s">
        <v>62</v>
      </c>
    </row>
    <row r="4" spans="1:42" x14ac:dyDescent="0.25">
      <c r="A4" s="77" t="s">
        <v>60</v>
      </c>
      <c r="B4" s="170" t="s">
        <v>15</v>
      </c>
      <c r="C4" s="170" t="s">
        <v>49</v>
      </c>
      <c r="D4" s="170" t="s">
        <v>103</v>
      </c>
      <c r="E4" s="170" t="s">
        <v>102</v>
      </c>
      <c r="F4" s="170" t="s">
        <v>19</v>
      </c>
      <c r="G4" s="170" t="s">
        <v>138</v>
      </c>
      <c r="H4" s="170" t="s">
        <v>97</v>
      </c>
      <c r="I4" s="170" t="s">
        <v>54</v>
      </c>
      <c r="J4" s="170" t="s">
        <v>159</v>
      </c>
      <c r="K4" s="170" t="s">
        <v>51</v>
      </c>
      <c r="L4" s="170" t="s">
        <v>6</v>
      </c>
      <c r="M4" s="170" t="s">
        <v>68</v>
      </c>
      <c r="N4" s="170" t="s">
        <v>163</v>
      </c>
      <c r="O4" s="170" t="s">
        <v>160</v>
      </c>
      <c r="P4" s="170" t="s">
        <v>104</v>
      </c>
      <c r="Q4" s="170" t="s">
        <v>12</v>
      </c>
      <c r="R4" s="170" t="s">
        <v>48</v>
      </c>
      <c r="S4" s="170" t="s">
        <v>137</v>
      </c>
      <c r="T4" s="170" t="s">
        <v>109</v>
      </c>
      <c r="U4" s="170" t="s">
        <v>53</v>
      </c>
      <c r="V4" s="170" t="s">
        <v>117</v>
      </c>
      <c r="W4" s="170" t="s">
        <v>14</v>
      </c>
      <c r="X4" s="170" t="s">
        <v>50</v>
      </c>
      <c r="Y4" s="170" t="s">
        <v>52</v>
      </c>
      <c r="Z4" s="170" t="s">
        <v>108</v>
      </c>
      <c r="AA4" s="170" t="s">
        <v>141</v>
      </c>
      <c r="AB4" s="170" t="s">
        <v>136</v>
      </c>
      <c r="AC4" s="170" t="s">
        <v>13</v>
      </c>
      <c r="AD4" s="170" t="s">
        <v>96</v>
      </c>
      <c r="AE4" s="170" t="s">
        <v>120</v>
      </c>
      <c r="AF4" s="170" t="s">
        <v>205</v>
      </c>
      <c r="AG4" s="170" t="s">
        <v>204</v>
      </c>
      <c r="AH4" s="170" t="s">
        <v>209</v>
      </c>
      <c r="AI4" s="170" t="s">
        <v>239</v>
      </c>
      <c r="AJ4" s="170" t="s">
        <v>232</v>
      </c>
      <c r="AK4" s="170" t="s">
        <v>111</v>
      </c>
      <c r="AL4" s="170" t="s">
        <v>116</v>
      </c>
      <c r="AM4" s="170" t="s">
        <v>316</v>
      </c>
      <c r="AN4" s="170" t="s">
        <v>317</v>
      </c>
      <c r="AO4" s="170" t="s">
        <v>119</v>
      </c>
      <c r="AP4" s="170" t="s">
        <v>61</v>
      </c>
    </row>
    <row r="5" spans="1:42" x14ac:dyDescent="0.25">
      <c r="A5" s="78" t="s">
        <v>110</v>
      </c>
      <c r="B5" s="239"/>
      <c r="C5" s="239"/>
      <c r="D5" s="239">
        <v>1462906</v>
      </c>
      <c r="E5" s="239">
        <v>4818085.5788593125</v>
      </c>
      <c r="F5" s="239"/>
      <c r="G5" s="239">
        <v>21349.861804441945</v>
      </c>
      <c r="H5" s="239"/>
      <c r="I5" s="239"/>
      <c r="J5" s="239">
        <v>428226</v>
      </c>
      <c r="K5" s="239">
        <v>85676.999999999985</v>
      </c>
      <c r="L5" s="239"/>
      <c r="M5" s="239">
        <v>75934</v>
      </c>
      <c r="N5" s="239">
        <v>1600078</v>
      </c>
      <c r="O5" s="239"/>
      <c r="P5" s="239">
        <v>2095654.0000000005</v>
      </c>
      <c r="Q5" s="239"/>
      <c r="R5" s="239">
        <v>3785.9999999999991</v>
      </c>
      <c r="S5" s="239">
        <v>15995969.740327597</v>
      </c>
      <c r="T5" s="239"/>
      <c r="U5" s="239">
        <v>330026</v>
      </c>
      <c r="V5" s="239"/>
      <c r="W5" s="239"/>
      <c r="X5" s="239"/>
      <c r="Y5" s="239">
        <v>28645.000000000004</v>
      </c>
      <c r="Z5" s="239"/>
      <c r="AA5" s="239">
        <v>14195000.38757316</v>
      </c>
      <c r="AB5" s="239">
        <v>13328826.943718029</v>
      </c>
      <c r="AC5" s="239"/>
      <c r="AD5" s="239"/>
      <c r="AE5" s="239"/>
      <c r="AF5" s="239"/>
      <c r="AG5" s="239"/>
      <c r="AH5" s="239">
        <v>2351858.5009355778</v>
      </c>
      <c r="AI5" s="239"/>
      <c r="AJ5" s="239"/>
      <c r="AK5" s="239"/>
      <c r="AL5" s="239"/>
      <c r="AM5" s="239"/>
      <c r="AN5" s="239"/>
      <c r="AO5" s="239"/>
      <c r="AP5" s="239">
        <v>56822023.01321812</v>
      </c>
    </row>
    <row r="6" spans="1:42" x14ac:dyDescent="0.25">
      <c r="A6" s="79">
        <v>2019</v>
      </c>
      <c r="B6" s="239"/>
      <c r="C6" s="239"/>
      <c r="D6" s="239">
        <v>729134</v>
      </c>
      <c r="E6" s="239">
        <v>757087.00000000012</v>
      </c>
      <c r="F6" s="239"/>
      <c r="G6" s="239">
        <v>4441.5</v>
      </c>
      <c r="H6" s="239"/>
      <c r="I6" s="239"/>
      <c r="J6" s="239">
        <v>142742</v>
      </c>
      <c r="K6" s="239">
        <v>85676.999999999985</v>
      </c>
      <c r="L6" s="239"/>
      <c r="M6" s="239">
        <v>75934</v>
      </c>
      <c r="N6" s="239">
        <v>78</v>
      </c>
      <c r="O6" s="239"/>
      <c r="P6" s="239">
        <v>995654</v>
      </c>
      <c r="Q6" s="239"/>
      <c r="R6" s="239">
        <v>3785.9999999999991</v>
      </c>
      <c r="S6" s="239">
        <v>4353509.666666667</v>
      </c>
      <c r="T6" s="239"/>
      <c r="U6" s="239">
        <v>330026</v>
      </c>
      <c r="V6" s="239"/>
      <c r="W6" s="239"/>
      <c r="X6" s="239"/>
      <c r="Y6" s="239">
        <v>28645.000000000004</v>
      </c>
      <c r="Z6" s="239"/>
      <c r="AA6" s="239">
        <v>2668834</v>
      </c>
      <c r="AB6" s="239">
        <v>2914869.3333333335</v>
      </c>
      <c r="AC6" s="239"/>
      <c r="AD6" s="239"/>
      <c r="AE6" s="239"/>
      <c r="AF6" s="239"/>
      <c r="AG6" s="239"/>
      <c r="AH6" s="239">
        <v>0</v>
      </c>
      <c r="AI6" s="239"/>
      <c r="AJ6" s="239"/>
      <c r="AK6" s="239"/>
      <c r="AL6" s="239"/>
      <c r="AM6" s="239"/>
      <c r="AN6" s="239"/>
      <c r="AO6" s="239"/>
      <c r="AP6" s="239">
        <v>13090417.500000002</v>
      </c>
    </row>
    <row r="7" spans="1:42" x14ac:dyDescent="0.25">
      <c r="A7" s="79">
        <v>2030</v>
      </c>
      <c r="B7" s="239"/>
      <c r="C7" s="239"/>
      <c r="D7" s="239">
        <v>363995</v>
      </c>
      <c r="E7" s="239">
        <v>1926976.874477441</v>
      </c>
      <c r="F7" s="239"/>
      <c r="G7" s="239">
        <v>6532.5849353972917</v>
      </c>
      <c r="H7" s="239"/>
      <c r="I7" s="239"/>
      <c r="J7" s="239">
        <v>142742</v>
      </c>
      <c r="K7" s="239">
        <v>0</v>
      </c>
      <c r="L7" s="239"/>
      <c r="M7" s="239">
        <v>0</v>
      </c>
      <c r="N7" s="239">
        <v>800000</v>
      </c>
      <c r="O7" s="239"/>
      <c r="P7" s="239">
        <v>600000.00000000023</v>
      </c>
      <c r="Q7" s="239"/>
      <c r="R7" s="239">
        <v>0</v>
      </c>
      <c r="S7" s="239">
        <v>6364975.1187257059</v>
      </c>
      <c r="T7" s="239"/>
      <c r="U7" s="239">
        <v>0</v>
      </c>
      <c r="V7" s="239"/>
      <c r="W7" s="239"/>
      <c r="X7" s="239"/>
      <c r="Y7" s="239">
        <v>0</v>
      </c>
      <c r="Z7" s="239"/>
      <c r="AA7" s="239">
        <v>4731707.5344867064</v>
      </c>
      <c r="AB7" s="239">
        <v>6275961.2089073332</v>
      </c>
      <c r="AC7" s="239"/>
      <c r="AD7" s="239"/>
      <c r="AE7" s="239"/>
      <c r="AF7" s="239"/>
      <c r="AG7" s="239"/>
      <c r="AH7" s="239">
        <v>839124.50566107244</v>
      </c>
      <c r="AI7" s="239"/>
      <c r="AJ7" s="239"/>
      <c r="AK7" s="239"/>
      <c r="AL7" s="239"/>
      <c r="AM7" s="239"/>
      <c r="AN7" s="239"/>
      <c r="AO7" s="239"/>
      <c r="AP7" s="239">
        <v>22052014.827193659</v>
      </c>
    </row>
    <row r="8" spans="1:42" x14ac:dyDescent="0.25">
      <c r="A8" s="79">
        <v>2050</v>
      </c>
      <c r="B8" s="239"/>
      <c r="C8" s="239"/>
      <c r="D8" s="239">
        <v>369777</v>
      </c>
      <c r="E8" s="239">
        <v>2134021.704381871</v>
      </c>
      <c r="F8" s="239"/>
      <c r="G8" s="239">
        <v>10375.776869044654</v>
      </c>
      <c r="H8" s="239"/>
      <c r="I8" s="239"/>
      <c r="J8" s="239">
        <v>142742</v>
      </c>
      <c r="K8" s="239">
        <v>0</v>
      </c>
      <c r="L8" s="239"/>
      <c r="M8" s="239">
        <v>0</v>
      </c>
      <c r="N8" s="239">
        <v>800000</v>
      </c>
      <c r="O8" s="239"/>
      <c r="P8" s="239">
        <v>500000.00000000012</v>
      </c>
      <c r="Q8" s="239"/>
      <c r="R8" s="239">
        <v>0</v>
      </c>
      <c r="S8" s="239">
        <v>5277484.9549352229</v>
      </c>
      <c r="T8" s="239"/>
      <c r="U8" s="239">
        <v>0</v>
      </c>
      <c r="V8" s="239"/>
      <c r="W8" s="239"/>
      <c r="X8" s="239"/>
      <c r="Y8" s="239">
        <v>0</v>
      </c>
      <c r="Z8" s="239"/>
      <c r="AA8" s="239">
        <v>6794458.8530864548</v>
      </c>
      <c r="AB8" s="239">
        <v>4137996.4014773625</v>
      </c>
      <c r="AC8" s="239"/>
      <c r="AD8" s="239"/>
      <c r="AE8" s="239"/>
      <c r="AF8" s="239"/>
      <c r="AG8" s="239"/>
      <c r="AH8" s="239">
        <v>1512733.9952745051</v>
      </c>
      <c r="AI8" s="239"/>
      <c r="AJ8" s="239"/>
      <c r="AK8" s="239"/>
      <c r="AL8" s="239"/>
      <c r="AM8" s="239"/>
      <c r="AN8" s="239"/>
      <c r="AO8" s="239"/>
      <c r="AP8" s="239">
        <v>21679590.686024461</v>
      </c>
    </row>
    <row r="9" spans="1:42" x14ac:dyDescent="0.25">
      <c r="A9" s="78" t="s">
        <v>113</v>
      </c>
      <c r="B9" s="239"/>
      <c r="C9" s="239">
        <v>72415.092228932088</v>
      </c>
      <c r="D9" s="239"/>
      <c r="E9" s="239"/>
      <c r="F9" s="239"/>
      <c r="G9" s="239"/>
      <c r="H9" s="239"/>
      <c r="I9" s="239"/>
      <c r="J9" s="239"/>
      <c r="K9" s="239">
        <v>31339963.589679439</v>
      </c>
      <c r="L9" s="239"/>
      <c r="M9" s="239">
        <v>867975.34157733875</v>
      </c>
      <c r="N9" s="239"/>
      <c r="O9" s="239">
        <v>7473420.2160148323</v>
      </c>
      <c r="P9" s="239"/>
      <c r="Q9" s="239">
        <v>0</v>
      </c>
      <c r="R9" s="239">
        <v>14995066.174228881</v>
      </c>
      <c r="S9" s="239"/>
      <c r="T9" s="239">
        <v>3858095.0602214416</v>
      </c>
      <c r="U9" s="239">
        <v>14477731.238423865</v>
      </c>
      <c r="V9" s="239"/>
      <c r="W9" s="239"/>
      <c r="X9" s="239"/>
      <c r="Y9" s="239">
        <v>2184469.8815490715</v>
      </c>
      <c r="Z9" s="239">
        <v>99191.202831956281</v>
      </c>
      <c r="AA9" s="239"/>
      <c r="AB9" s="239"/>
      <c r="AC9" s="239"/>
      <c r="AD9" s="239"/>
      <c r="AE9" s="239"/>
      <c r="AF9" s="239">
        <v>2093793.3885746603</v>
      </c>
      <c r="AG9" s="239">
        <v>1016665.78289472</v>
      </c>
      <c r="AH9" s="239"/>
      <c r="AI9" s="239">
        <v>964464.20850969933</v>
      </c>
      <c r="AJ9" s="239"/>
      <c r="AK9" s="239"/>
      <c r="AL9" s="239"/>
      <c r="AM9" s="239"/>
      <c r="AN9" s="239"/>
      <c r="AO9" s="239"/>
      <c r="AP9" s="239">
        <v>79443251.176734835</v>
      </c>
    </row>
    <row r="10" spans="1:42" x14ac:dyDescent="0.25">
      <c r="A10" s="79">
        <v>2019</v>
      </c>
      <c r="B10" s="239"/>
      <c r="C10" s="239">
        <v>72415.092228932088</v>
      </c>
      <c r="D10" s="239"/>
      <c r="E10" s="239"/>
      <c r="F10" s="239"/>
      <c r="G10" s="239"/>
      <c r="H10" s="239"/>
      <c r="I10" s="239"/>
      <c r="J10" s="239"/>
      <c r="K10" s="239">
        <v>13739757.985270014</v>
      </c>
      <c r="L10" s="239"/>
      <c r="M10" s="239">
        <v>867975.34157733875</v>
      </c>
      <c r="N10" s="239"/>
      <c r="O10" s="239">
        <v>5421074.2654714445</v>
      </c>
      <c r="P10" s="239"/>
      <c r="Q10" s="239">
        <v>0</v>
      </c>
      <c r="R10" s="239">
        <v>6600836.8097011279</v>
      </c>
      <c r="S10" s="239"/>
      <c r="T10" s="239">
        <v>1701754.6673799041</v>
      </c>
      <c r="U10" s="239">
        <v>6351407.0475792512</v>
      </c>
      <c r="V10" s="239"/>
      <c r="W10" s="239"/>
      <c r="X10" s="239"/>
      <c r="Y10" s="239">
        <v>944413.49448565592</v>
      </c>
      <c r="Z10" s="239">
        <v>44253.667473236274</v>
      </c>
      <c r="AA10" s="239"/>
      <c r="AB10" s="239"/>
      <c r="AC10" s="239"/>
      <c r="AD10" s="239"/>
      <c r="AE10" s="239"/>
      <c r="AF10" s="239">
        <v>0</v>
      </c>
      <c r="AG10" s="239">
        <v>0</v>
      </c>
      <c r="AH10" s="239"/>
      <c r="AI10" s="239">
        <v>240377.87559326066</v>
      </c>
      <c r="AJ10" s="239"/>
      <c r="AK10" s="239"/>
      <c r="AL10" s="239"/>
      <c r="AM10" s="239"/>
      <c r="AN10" s="239"/>
      <c r="AO10" s="239"/>
      <c r="AP10" s="239">
        <v>35984266.24676016</v>
      </c>
    </row>
    <row r="11" spans="1:42" x14ac:dyDescent="0.25">
      <c r="A11" s="79">
        <v>2030</v>
      </c>
      <c r="B11" s="239"/>
      <c r="C11" s="239">
        <v>0</v>
      </c>
      <c r="D11" s="239"/>
      <c r="E11" s="239"/>
      <c r="F11" s="239"/>
      <c r="G11" s="239"/>
      <c r="H11" s="239"/>
      <c r="I11" s="239"/>
      <c r="J11" s="239"/>
      <c r="K11" s="239">
        <v>10480691.474373968</v>
      </c>
      <c r="L11" s="239"/>
      <c r="M11" s="239">
        <v>0</v>
      </c>
      <c r="N11" s="239"/>
      <c r="O11" s="239">
        <v>2052345.9505433873</v>
      </c>
      <c r="P11" s="239"/>
      <c r="Q11" s="239">
        <v>0</v>
      </c>
      <c r="R11" s="239">
        <v>4998653.4312249422</v>
      </c>
      <c r="S11" s="239"/>
      <c r="T11" s="239">
        <v>1284072.4068269122</v>
      </c>
      <c r="U11" s="239">
        <v>4839119.4159485474</v>
      </c>
      <c r="V11" s="239"/>
      <c r="W11" s="239"/>
      <c r="X11" s="239"/>
      <c r="Y11" s="239">
        <v>738437.3055495692</v>
      </c>
      <c r="Z11" s="239">
        <v>32714.581374719997</v>
      </c>
      <c r="AA11" s="239"/>
      <c r="AB11" s="239"/>
      <c r="AC11" s="239"/>
      <c r="AD11" s="239"/>
      <c r="AE11" s="239"/>
      <c r="AF11" s="239">
        <v>908664.94404977362</v>
      </c>
      <c r="AG11" s="239">
        <v>441646.84855871997</v>
      </c>
      <c r="AH11" s="239"/>
      <c r="AI11" s="239">
        <v>368026.31435770006</v>
      </c>
      <c r="AJ11" s="239"/>
      <c r="AK11" s="239"/>
      <c r="AL11" s="239"/>
      <c r="AM11" s="239"/>
      <c r="AN11" s="239"/>
      <c r="AO11" s="239"/>
      <c r="AP11" s="239">
        <v>26144372.672808241</v>
      </c>
    </row>
    <row r="12" spans="1:42" x14ac:dyDescent="0.25">
      <c r="A12" s="79">
        <v>2050</v>
      </c>
      <c r="B12" s="239"/>
      <c r="C12" s="239">
        <v>0</v>
      </c>
      <c r="D12" s="239"/>
      <c r="E12" s="239"/>
      <c r="F12" s="239"/>
      <c r="G12" s="239"/>
      <c r="H12" s="239"/>
      <c r="I12" s="239"/>
      <c r="J12" s="239"/>
      <c r="K12" s="239">
        <v>7119514.1300354572</v>
      </c>
      <c r="L12" s="239"/>
      <c r="M12" s="239">
        <v>0</v>
      </c>
      <c r="N12" s="239"/>
      <c r="O12" s="239">
        <v>0</v>
      </c>
      <c r="P12" s="239"/>
      <c r="Q12" s="239">
        <v>0</v>
      </c>
      <c r="R12" s="239">
        <v>3395575.9333028109</v>
      </c>
      <c r="S12" s="239"/>
      <c r="T12" s="239">
        <v>872267.98601462564</v>
      </c>
      <c r="U12" s="239">
        <v>3287204.7748960671</v>
      </c>
      <c r="V12" s="239"/>
      <c r="W12" s="239"/>
      <c r="X12" s="239"/>
      <c r="Y12" s="239">
        <v>501619.08151384618</v>
      </c>
      <c r="Z12" s="239">
        <v>22222.953984000003</v>
      </c>
      <c r="AA12" s="239"/>
      <c r="AB12" s="239"/>
      <c r="AC12" s="239"/>
      <c r="AD12" s="239"/>
      <c r="AE12" s="239"/>
      <c r="AF12" s="239">
        <v>1185128.4445248868</v>
      </c>
      <c r="AG12" s="239">
        <v>575018.93433600001</v>
      </c>
      <c r="AH12" s="239"/>
      <c r="AI12" s="239">
        <v>356060.01855873864</v>
      </c>
      <c r="AJ12" s="239"/>
      <c r="AK12" s="239"/>
      <c r="AL12" s="239"/>
      <c r="AM12" s="239"/>
      <c r="AN12" s="239"/>
      <c r="AO12" s="239"/>
      <c r="AP12" s="239">
        <v>17314612.25716643</v>
      </c>
    </row>
    <row r="13" spans="1:42" x14ac:dyDescent="0.25">
      <c r="A13" s="78" t="s">
        <v>128</v>
      </c>
      <c r="B13" s="239">
        <v>182574.19618217932</v>
      </c>
      <c r="C13" s="239">
        <v>292325.4025919938</v>
      </c>
      <c r="D13" s="239"/>
      <c r="E13" s="239"/>
      <c r="F13" s="239">
        <v>281468.55244752642</v>
      </c>
      <c r="G13" s="239"/>
      <c r="H13" s="239">
        <v>150285.8346094953</v>
      </c>
      <c r="I13" s="239">
        <v>1445379.0531089196</v>
      </c>
      <c r="J13" s="239"/>
      <c r="K13" s="239"/>
      <c r="L13" s="239">
        <v>1513844.376677237</v>
      </c>
      <c r="M13" s="239"/>
      <c r="N13" s="239"/>
      <c r="O13" s="239"/>
      <c r="P13" s="239"/>
      <c r="Q13" s="239">
        <v>692260.49385742994</v>
      </c>
      <c r="R13" s="239">
        <v>1658382.281988129</v>
      </c>
      <c r="S13" s="239"/>
      <c r="T13" s="239"/>
      <c r="U13" s="239"/>
      <c r="V13" s="239">
        <v>2647325.8446415998</v>
      </c>
      <c r="W13" s="239">
        <v>255601.5233243031</v>
      </c>
      <c r="X13" s="239"/>
      <c r="Y13" s="239"/>
      <c r="Z13" s="239"/>
      <c r="AA13" s="239"/>
      <c r="AB13" s="239"/>
      <c r="AC13" s="239">
        <v>518948.54735540331</v>
      </c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>
        <v>9638396.1067842171</v>
      </c>
    </row>
    <row r="14" spans="1:42" x14ac:dyDescent="0.25">
      <c r="A14" s="79">
        <v>2019</v>
      </c>
      <c r="B14" s="239">
        <v>58403.100598004137</v>
      </c>
      <c r="C14" s="239">
        <v>0</v>
      </c>
      <c r="D14" s="239"/>
      <c r="E14" s="239"/>
      <c r="F14" s="239">
        <v>90038.113421923044</v>
      </c>
      <c r="G14" s="239"/>
      <c r="H14" s="239">
        <v>63270.025647837821</v>
      </c>
      <c r="I14" s="239">
        <v>462357.87973419944</v>
      </c>
      <c r="J14" s="239"/>
      <c r="K14" s="239"/>
      <c r="L14" s="239">
        <v>484259.042458451</v>
      </c>
      <c r="M14" s="239"/>
      <c r="N14" s="239"/>
      <c r="O14" s="239"/>
      <c r="P14" s="239"/>
      <c r="Q14" s="239">
        <v>221445.08976743236</v>
      </c>
      <c r="R14" s="239">
        <v>530494.83043187088</v>
      </c>
      <c r="S14" s="239"/>
      <c r="T14" s="239"/>
      <c r="U14" s="239"/>
      <c r="V14" s="239">
        <v>846844.95867106004</v>
      </c>
      <c r="W14" s="239">
        <v>107607.71285182264</v>
      </c>
      <c r="X14" s="239"/>
      <c r="Y14" s="239"/>
      <c r="Z14" s="239"/>
      <c r="AA14" s="239"/>
      <c r="AB14" s="239"/>
      <c r="AC14" s="239">
        <v>218476.26548703379</v>
      </c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>
        <v>3083197.0190696353</v>
      </c>
    </row>
    <row r="15" spans="1:42" x14ac:dyDescent="0.25">
      <c r="A15" s="79">
        <v>2030</v>
      </c>
      <c r="B15" s="239">
        <v>60789.12467762841</v>
      </c>
      <c r="C15" s="239">
        <v>81052.166236837889</v>
      </c>
      <c r="D15" s="239"/>
      <c r="E15" s="239"/>
      <c r="F15" s="239">
        <v>93716.56721134379</v>
      </c>
      <c r="G15" s="239"/>
      <c r="H15" s="239">
        <v>52683.90805394463</v>
      </c>
      <c r="I15" s="239">
        <v>481247.23703122488</v>
      </c>
      <c r="J15" s="239"/>
      <c r="K15" s="239"/>
      <c r="L15" s="239">
        <v>504043.1587853356</v>
      </c>
      <c r="M15" s="239"/>
      <c r="N15" s="239"/>
      <c r="O15" s="239"/>
      <c r="P15" s="239"/>
      <c r="Q15" s="239">
        <v>230492.09773600774</v>
      </c>
      <c r="R15" s="239">
        <v>552167.88248845807</v>
      </c>
      <c r="S15" s="239"/>
      <c r="T15" s="239"/>
      <c r="U15" s="239"/>
      <c r="V15" s="239">
        <v>881442.3078256119</v>
      </c>
      <c r="W15" s="239">
        <v>89603.169774824273</v>
      </c>
      <c r="X15" s="239"/>
      <c r="Y15" s="239"/>
      <c r="Z15" s="239"/>
      <c r="AA15" s="239"/>
      <c r="AB15" s="239"/>
      <c r="AC15" s="239">
        <v>181921.58711858263</v>
      </c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>
        <v>3209159.2069398002</v>
      </c>
    </row>
    <row r="16" spans="1:42" x14ac:dyDescent="0.25">
      <c r="A16" s="79">
        <v>2050</v>
      </c>
      <c r="B16" s="239">
        <v>63381.970906546776</v>
      </c>
      <c r="C16" s="239">
        <v>211273.23635515591</v>
      </c>
      <c r="D16" s="239"/>
      <c r="E16" s="239"/>
      <c r="F16" s="239">
        <v>97713.871814259604</v>
      </c>
      <c r="G16" s="239"/>
      <c r="H16" s="239">
        <v>34331.900907712836</v>
      </c>
      <c r="I16" s="239">
        <v>501773.93634349527</v>
      </c>
      <c r="J16" s="239"/>
      <c r="K16" s="239"/>
      <c r="L16" s="239">
        <v>525542.17543345026</v>
      </c>
      <c r="M16" s="239"/>
      <c r="N16" s="239"/>
      <c r="O16" s="239"/>
      <c r="P16" s="239"/>
      <c r="Q16" s="239">
        <v>240323.30635398987</v>
      </c>
      <c r="R16" s="239">
        <v>575719.56906779984</v>
      </c>
      <c r="S16" s="239"/>
      <c r="T16" s="239"/>
      <c r="U16" s="239"/>
      <c r="V16" s="239">
        <v>919038.57814492821</v>
      </c>
      <c r="W16" s="239">
        <v>58390.640697656214</v>
      </c>
      <c r="X16" s="239"/>
      <c r="Y16" s="239"/>
      <c r="Z16" s="239"/>
      <c r="AA16" s="239"/>
      <c r="AB16" s="239"/>
      <c r="AC16" s="239">
        <v>118550.69474978685</v>
      </c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>
        <v>3346039.8807747816</v>
      </c>
    </row>
    <row r="17" spans="1:42" x14ac:dyDescent="0.25">
      <c r="A17" s="78" t="s">
        <v>121</v>
      </c>
      <c r="B17" s="239"/>
      <c r="C17" s="239"/>
      <c r="D17" s="239">
        <v>43088.051602674765</v>
      </c>
      <c r="E17" s="239"/>
      <c r="F17" s="239"/>
      <c r="G17" s="239"/>
      <c r="H17" s="239"/>
      <c r="I17" s="239"/>
      <c r="J17" s="239"/>
      <c r="K17" s="239"/>
      <c r="L17" s="239"/>
      <c r="M17" s="239">
        <v>4093126.4883966064</v>
      </c>
      <c r="N17" s="239">
        <v>1348349</v>
      </c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  <c r="AC17" s="239"/>
      <c r="AD17" s="239">
        <v>485031.96175548917</v>
      </c>
      <c r="AE17" s="239">
        <v>8855381.8104562052</v>
      </c>
      <c r="AF17" s="239"/>
      <c r="AG17" s="239"/>
      <c r="AH17" s="239"/>
      <c r="AI17" s="239"/>
      <c r="AJ17" s="239">
        <v>600660.03659825469</v>
      </c>
      <c r="AK17" s="239"/>
      <c r="AL17" s="239"/>
      <c r="AM17" s="239">
        <v>2228800</v>
      </c>
      <c r="AN17" s="239">
        <v>557200</v>
      </c>
      <c r="AO17" s="239"/>
      <c r="AP17" s="239">
        <v>18211637.348809231</v>
      </c>
    </row>
    <row r="18" spans="1:42" x14ac:dyDescent="0.25">
      <c r="A18" s="79">
        <v>2019</v>
      </c>
      <c r="B18" s="239"/>
      <c r="C18" s="239"/>
      <c r="D18" s="239">
        <v>0</v>
      </c>
      <c r="E18" s="239"/>
      <c r="F18" s="239"/>
      <c r="G18" s="239"/>
      <c r="H18" s="239"/>
      <c r="I18" s="239"/>
      <c r="J18" s="239"/>
      <c r="K18" s="239"/>
      <c r="L18" s="239"/>
      <c r="M18" s="239">
        <v>1893765.2125355615</v>
      </c>
      <c r="N18" s="239">
        <v>982731</v>
      </c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>
        <v>209782.38739500003</v>
      </c>
      <c r="AE18" s="239">
        <v>3010238.4923246857</v>
      </c>
      <c r="AF18" s="239"/>
      <c r="AG18" s="239"/>
      <c r="AH18" s="239"/>
      <c r="AI18" s="239"/>
      <c r="AJ18" s="239">
        <v>112887.06079513082</v>
      </c>
      <c r="AK18" s="239"/>
      <c r="AL18" s="239"/>
      <c r="AM18" s="239">
        <v>0</v>
      </c>
      <c r="AN18" s="239">
        <v>0</v>
      </c>
      <c r="AO18" s="239"/>
      <c r="AP18" s="239">
        <v>6209404.1530503789</v>
      </c>
    </row>
    <row r="19" spans="1:42" x14ac:dyDescent="0.25">
      <c r="A19" s="79">
        <v>2030</v>
      </c>
      <c r="B19" s="239"/>
      <c r="C19" s="239"/>
      <c r="D19" s="239">
        <v>19815.087511041667</v>
      </c>
      <c r="E19" s="239"/>
      <c r="F19" s="239"/>
      <c r="G19" s="239"/>
      <c r="H19" s="239"/>
      <c r="I19" s="239"/>
      <c r="J19" s="239"/>
      <c r="K19" s="239"/>
      <c r="L19" s="239"/>
      <c r="M19" s="239">
        <v>1525571.4861111147</v>
      </c>
      <c r="N19" s="239">
        <v>182809.00000000006</v>
      </c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39"/>
      <c r="AD19" s="239">
        <v>161495.51348140143</v>
      </c>
      <c r="AE19" s="239">
        <v>2874812.4442172255</v>
      </c>
      <c r="AF19" s="239"/>
      <c r="AG19" s="239"/>
      <c r="AH19" s="239"/>
      <c r="AI19" s="239"/>
      <c r="AJ19" s="239">
        <v>258893.41910729138</v>
      </c>
      <c r="AK19" s="239"/>
      <c r="AL19" s="239"/>
      <c r="AM19" s="239">
        <v>828800.00000000012</v>
      </c>
      <c r="AN19" s="239">
        <v>207200.00000000003</v>
      </c>
      <c r="AO19" s="239"/>
      <c r="AP19" s="239">
        <v>6059396.9504280742</v>
      </c>
    </row>
    <row r="20" spans="1:42" x14ac:dyDescent="0.25">
      <c r="A20" s="79">
        <v>2050</v>
      </c>
      <c r="B20" s="239"/>
      <c r="C20" s="239"/>
      <c r="D20" s="239">
        <v>23272.964091633097</v>
      </c>
      <c r="E20" s="239"/>
      <c r="F20" s="239"/>
      <c r="G20" s="239"/>
      <c r="H20" s="239"/>
      <c r="I20" s="239"/>
      <c r="J20" s="239"/>
      <c r="K20" s="239"/>
      <c r="L20" s="239"/>
      <c r="M20" s="239">
        <v>673789.78974993015</v>
      </c>
      <c r="N20" s="239">
        <v>182808.99999999994</v>
      </c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>
        <v>113754.06087908773</v>
      </c>
      <c r="AE20" s="239">
        <v>2970330.8739142935</v>
      </c>
      <c r="AF20" s="239"/>
      <c r="AG20" s="239"/>
      <c r="AH20" s="239"/>
      <c r="AI20" s="239"/>
      <c r="AJ20" s="239">
        <v>228879.55669583252</v>
      </c>
      <c r="AK20" s="239"/>
      <c r="AL20" s="239"/>
      <c r="AM20" s="239">
        <v>1399999.9999999998</v>
      </c>
      <c r="AN20" s="239">
        <v>349999.99999999994</v>
      </c>
      <c r="AO20" s="239"/>
      <c r="AP20" s="239">
        <v>5942836.2453307761</v>
      </c>
    </row>
    <row r="21" spans="1:42" x14ac:dyDescent="0.25">
      <c r="A21" s="78" t="s">
        <v>165</v>
      </c>
      <c r="B21" s="239"/>
      <c r="C21" s="239"/>
      <c r="D21" s="239">
        <v>0</v>
      </c>
      <c r="E21" s="239"/>
      <c r="F21" s="239"/>
      <c r="G21" s="239"/>
      <c r="H21" s="239"/>
      <c r="I21" s="239"/>
      <c r="J21" s="239"/>
      <c r="K21" s="239"/>
      <c r="L21" s="239"/>
      <c r="M21" s="239">
        <v>0</v>
      </c>
      <c r="N21" s="239">
        <v>0</v>
      </c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>
        <v>0</v>
      </c>
      <c r="AE21" s="239"/>
      <c r="AF21" s="239"/>
      <c r="AG21" s="239"/>
      <c r="AH21" s="239"/>
      <c r="AI21" s="239"/>
      <c r="AJ21" s="239">
        <v>104203.4407339669</v>
      </c>
      <c r="AK21" s="239"/>
      <c r="AL21" s="239"/>
      <c r="AM21" s="239"/>
      <c r="AN21" s="239"/>
      <c r="AO21" s="239">
        <v>2488069.6941378918</v>
      </c>
      <c r="AP21" s="239">
        <v>2592273.1348718586</v>
      </c>
    </row>
    <row r="22" spans="1:42" x14ac:dyDescent="0.25">
      <c r="A22" s="79">
        <v>2019</v>
      </c>
      <c r="B22" s="239"/>
      <c r="C22" s="239"/>
      <c r="D22" s="239">
        <v>0</v>
      </c>
      <c r="E22" s="239"/>
      <c r="F22" s="239"/>
      <c r="G22" s="239"/>
      <c r="H22" s="239"/>
      <c r="I22" s="239"/>
      <c r="J22" s="239"/>
      <c r="K22" s="239"/>
      <c r="L22" s="239"/>
      <c r="M22" s="239">
        <v>0</v>
      </c>
      <c r="N22" s="239">
        <v>0</v>
      </c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39"/>
      <c r="AD22" s="239">
        <v>0</v>
      </c>
      <c r="AE22" s="239"/>
      <c r="AF22" s="239"/>
      <c r="AG22" s="239"/>
      <c r="AH22" s="239"/>
      <c r="AI22" s="239"/>
      <c r="AJ22" s="239">
        <v>104203.4407339669</v>
      </c>
      <c r="AK22" s="239"/>
      <c r="AL22" s="239"/>
      <c r="AM22" s="239"/>
      <c r="AN22" s="239"/>
      <c r="AO22" s="239">
        <v>827693.20492220437</v>
      </c>
      <c r="AP22" s="239">
        <v>931896.64565617125</v>
      </c>
    </row>
    <row r="23" spans="1:42" x14ac:dyDescent="0.25">
      <c r="A23" s="79">
        <v>2030</v>
      </c>
      <c r="B23" s="239"/>
      <c r="C23" s="239"/>
      <c r="D23" s="239">
        <v>0</v>
      </c>
      <c r="E23" s="239"/>
      <c r="F23" s="239"/>
      <c r="G23" s="239"/>
      <c r="H23" s="239"/>
      <c r="I23" s="239"/>
      <c r="J23" s="239"/>
      <c r="K23" s="239"/>
      <c r="L23" s="239"/>
      <c r="M23" s="239">
        <v>0</v>
      </c>
      <c r="N23" s="239">
        <v>0</v>
      </c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39"/>
      <c r="AD23" s="239">
        <v>0</v>
      </c>
      <c r="AE23" s="239"/>
      <c r="AF23" s="239"/>
      <c r="AG23" s="239"/>
      <c r="AH23" s="239"/>
      <c r="AI23" s="239"/>
      <c r="AJ23" s="239">
        <v>0</v>
      </c>
      <c r="AK23" s="239"/>
      <c r="AL23" s="239"/>
      <c r="AM23" s="239"/>
      <c r="AN23" s="239"/>
      <c r="AO23" s="239">
        <v>792049.6289698272</v>
      </c>
      <c r="AP23" s="239">
        <v>792049.6289698272</v>
      </c>
    </row>
    <row r="24" spans="1:42" x14ac:dyDescent="0.25">
      <c r="A24" s="79">
        <v>2050</v>
      </c>
      <c r="B24" s="239"/>
      <c r="C24" s="239"/>
      <c r="D24" s="239">
        <v>0</v>
      </c>
      <c r="E24" s="239"/>
      <c r="F24" s="239"/>
      <c r="G24" s="239"/>
      <c r="H24" s="239"/>
      <c r="I24" s="239"/>
      <c r="J24" s="239"/>
      <c r="K24" s="239"/>
      <c r="L24" s="239"/>
      <c r="M24" s="239">
        <v>0</v>
      </c>
      <c r="N24" s="239">
        <v>0</v>
      </c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39">
        <v>0</v>
      </c>
      <c r="AE24" s="239"/>
      <c r="AF24" s="239"/>
      <c r="AG24" s="239"/>
      <c r="AH24" s="239"/>
      <c r="AI24" s="239"/>
      <c r="AJ24" s="239">
        <v>0</v>
      </c>
      <c r="AK24" s="239"/>
      <c r="AL24" s="239"/>
      <c r="AM24" s="239"/>
      <c r="AN24" s="239"/>
      <c r="AO24" s="239">
        <v>868326.86024586018</v>
      </c>
      <c r="AP24" s="239">
        <v>868326.86024586018</v>
      </c>
    </row>
    <row r="25" spans="1:42" x14ac:dyDescent="0.25">
      <c r="A25" s="78" t="s">
        <v>115</v>
      </c>
      <c r="B25" s="239"/>
      <c r="C25" s="239"/>
      <c r="D25" s="239"/>
      <c r="E25" s="239">
        <v>1306336.2222954389</v>
      </c>
      <c r="F25" s="239"/>
      <c r="G25" s="239">
        <v>9111.9098310052123</v>
      </c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>
        <v>13710171.845246814</v>
      </c>
      <c r="T25" s="239"/>
      <c r="U25" s="239"/>
      <c r="V25" s="239"/>
      <c r="W25" s="239"/>
      <c r="X25" s="239"/>
      <c r="Y25" s="239"/>
      <c r="Z25" s="239"/>
      <c r="AA25" s="239"/>
      <c r="AB25" s="239">
        <v>18581271.772481773</v>
      </c>
      <c r="AC25" s="239"/>
      <c r="AD25" s="239"/>
      <c r="AE25" s="239"/>
      <c r="AF25" s="239"/>
      <c r="AG25" s="239"/>
      <c r="AH25" s="239"/>
      <c r="AI25" s="239"/>
      <c r="AJ25" s="239"/>
      <c r="AK25" s="239">
        <v>35138114.071681611</v>
      </c>
      <c r="AL25" s="239">
        <v>4199216.9624190796</v>
      </c>
      <c r="AM25" s="239"/>
      <c r="AN25" s="239"/>
      <c r="AO25" s="239"/>
      <c r="AP25" s="239">
        <v>72944222.783955723</v>
      </c>
    </row>
    <row r="26" spans="1:42" x14ac:dyDescent="0.25">
      <c r="A26" s="79">
        <v>2019</v>
      </c>
      <c r="B26" s="239"/>
      <c r="C26" s="239"/>
      <c r="D26" s="239"/>
      <c r="E26" s="239">
        <v>823764.99285714305</v>
      </c>
      <c r="F26" s="239"/>
      <c r="G26" s="239">
        <v>4441.5</v>
      </c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>
        <v>9696490.333333334</v>
      </c>
      <c r="T26" s="239"/>
      <c r="U26" s="239"/>
      <c r="V26" s="239"/>
      <c r="W26" s="239"/>
      <c r="X26" s="239"/>
      <c r="Y26" s="239"/>
      <c r="Z26" s="239"/>
      <c r="AA26" s="239"/>
      <c r="AB26" s="239">
        <v>14742130.666666664</v>
      </c>
      <c r="AC26" s="239"/>
      <c r="AD26" s="239"/>
      <c r="AE26" s="239"/>
      <c r="AF26" s="239"/>
      <c r="AG26" s="239"/>
      <c r="AH26" s="239"/>
      <c r="AI26" s="239"/>
      <c r="AJ26" s="239"/>
      <c r="AK26" s="239">
        <v>8803491.7355084848</v>
      </c>
      <c r="AL26" s="239">
        <v>944815.08868008247</v>
      </c>
      <c r="AM26" s="239"/>
      <c r="AN26" s="239"/>
      <c r="AO26" s="239"/>
      <c r="AP26" s="239">
        <v>35015134.317045711</v>
      </c>
    </row>
    <row r="27" spans="1:42" x14ac:dyDescent="0.25">
      <c r="A27" s="79">
        <v>2030</v>
      </c>
      <c r="B27" s="239"/>
      <c r="C27" s="239"/>
      <c r="D27" s="239"/>
      <c r="E27" s="239">
        <v>392806.8244127091</v>
      </c>
      <c r="F27" s="239"/>
      <c r="G27" s="239">
        <v>3517.5457344446954</v>
      </c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>
        <v>3427294.2946984568</v>
      </c>
      <c r="T27" s="239"/>
      <c r="U27" s="239"/>
      <c r="V27" s="239"/>
      <c r="W27" s="239"/>
      <c r="X27" s="239"/>
      <c r="Y27" s="239"/>
      <c r="Z27" s="239"/>
      <c r="AA27" s="239"/>
      <c r="AB27" s="239">
        <v>3379363.7278731791</v>
      </c>
      <c r="AC27" s="239"/>
      <c r="AD27" s="239"/>
      <c r="AE27" s="239"/>
      <c r="AF27" s="239"/>
      <c r="AG27" s="239"/>
      <c r="AH27" s="239"/>
      <c r="AI27" s="239"/>
      <c r="AJ27" s="239"/>
      <c r="AK27" s="239">
        <v>14752987.144599162</v>
      </c>
      <c r="AL27" s="239">
        <v>1719578.7837137314</v>
      </c>
      <c r="AM27" s="239"/>
      <c r="AN27" s="239"/>
      <c r="AO27" s="239"/>
      <c r="AP27" s="239">
        <v>23675548.321031686</v>
      </c>
    </row>
    <row r="28" spans="1:42" x14ac:dyDescent="0.25">
      <c r="A28" s="79">
        <v>2050</v>
      </c>
      <c r="B28" s="239"/>
      <c r="C28" s="239"/>
      <c r="D28" s="239"/>
      <c r="E28" s="239">
        <v>89764.405025586617</v>
      </c>
      <c r="F28" s="239"/>
      <c r="G28" s="239">
        <v>1152.8640965605166</v>
      </c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>
        <v>586387.21721502463</v>
      </c>
      <c r="T28" s="239"/>
      <c r="U28" s="239"/>
      <c r="V28" s="239"/>
      <c r="W28" s="239"/>
      <c r="X28" s="239"/>
      <c r="Y28" s="239"/>
      <c r="Z28" s="239"/>
      <c r="AA28" s="239"/>
      <c r="AB28" s="239">
        <v>459777.37794192904</v>
      </c>
      <c r="AC28" s="239"/>
      <c r="AD28" s="239"/>
      <c r="AE28" s="239"/>
      <c r="AF28" s="239"/>
      <c r="AG28" s="239"/>
      <c r="AH28" s="239"/>
      <c r="AI28" s="239"/>
      <c r="AJ28" s="239"/>
      <c r="AK28" s="239">
        <v>11581635.191573963</v>
      </c>
      <c r="AL28" s="239">
        <v>1534823.0900252662</v>
      </c>
      <c r="AM28" s="239"/>
      <c r="AN28" s="239"/>
      <c r="AO28" s="239"/>
      <c r="AP28" s="239">
        <v>14253540.14587833</v>
      </c>
    </row>
    <row r="29" spans="1:42" x14ac:dyDescent="0.25">
      <c r="A29" s="78" t="s">
        <v>210</v>
      </c>
      <c r="B29" s="239"/>
      <c r="C29" s="239"/>
      <c r="D29" s="239"/>
      <c r="E29" s="239"/>
      <c r="F29" s="239"/>
      <c r="G29" s="239"/>
      <c r="H29" s="239"/>
      <c r="I29" s="239"/>
      <c r="J29" s="239"/>
      <c r="K29" s="239">
        <v>6081577.5465113195</v>
      </c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>
        <v>6081577.5465113195</v>
      </c>
    </row>
    <row r="30" spans="1:42" x14ac:dyDescent="0.25">
      <c r="A30" s="79">
        <v>2019</v>
      </c>
      <c r="B30" s="239"/>
      <c r="C30" s="239"/>
      <c r="D30" s="239"/>
      <c r="E30" s="239"/>
      <c r="F30" s="239"/>
      <c r="G30" s="239"/>
      <c r="H30" s="239"/>
      <c r="I30" s="239"/>
      <c r="J30" s="239"/>
      <c r="K30" s="239">
        <v>0</v>
      </c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>
        <v>0</v>
      </c>
    </row>
    <row r="31" spans="1:42" x14ac:dyDescent="0.25">
      <c r="A31" s="79">
        <v>2030</v>
      </c>
      <c r="B31" s="239"/>
      <c r="C31" s="239"/>
      <c r="D31" s="239"/>
      <c r="E31" s="239"/>
      <c r="F31" s="239"/>
      <c r="G31" s="239"/>
      <c r="H31" s="239"/>
      <c r="I31" s="239"/>
      <c r="J31" s="239"/>
      <c r="K31" s="239">
        <v>2641880.5500020785</v>
      </c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>
        <v>2641880.5500020785</v>
      </c>
    </row>
    <row r="32" spans="1:42" x14ac:dyDescent="0.25">
      <c r="A32" s="79">
        <v>2050</v>
      </c>
      <c r="B32" s="239"/>
      <c r="C32" s="239"/>
      <c r="D32" s="239"/>
      <c r="E32" s="239"/>
      <c r="F32" s="239"/>
      <c r="G32" s="239"/>
      <c r="H32" s="239"/>
      <c r="I32" s="239"/>
      <c r="J32" s="239"/>
      <c r="K32" s="239">
        <v>3439696.9965092409</v>
      </c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>
        <v>3439696.9965092409</v>
      </c>
    </row>
    <row r="33" spans="1:42" x14ac:dyDescent="0.25">
      <c r="A33" s="78" t="s">
        <v>238</v>
      </c>
      <c r="B33" s="239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>
        <v>2202698.3666631924</v>
      </c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>
        <v>2202698.3666631924</v>
      </c>
    </row>
    <row r="34" spans="1:42" x14ac:dyDescent="0.25">
      <c r="A34" s="79">
        <v>2019</v>
      </c>
      <c r="B34" s="239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>
        <v>678407.81727843033</v>
      </c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>
        <v>678407.81727843033</v>
      </c>
    </row>
    <row r="35" spans="1:42" x14ac:dyDescent="0.25">
      <c r="A35" s="79">
        <v>2030</v>
      </c>
      <c r="B35" s="239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>
        <v>809041.93471028551</v>
      </c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>
        <v>809041.93471028551</v>
      </c>
    </row>
    <row r="36" spans="1:42" x14ac:dyDescent="0.25">
      <c r="A36" s="79">
        <v>2050</v>
      </c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>
        <v>715248.61467447656</v>
      </c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>
        <v>715248.61467447656</v>
      </c>
    </row>
    <row r="37" spans="1:42" x14ac:dyDescent="0.25">
      <c r="A37" s="78" t="s">
        <v>320</v>
      </c>
      <c r="B37" s="239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>
        <v>3979999.9999999995</v>
      </c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>
        <v>3979999.9999999995</v>
      </c>
    </row>
    <row r="38" spans="1:42" x14ac:dyDescent="0.25">
      <c r="A38" s="79">
        <v>2019</v>
      </c>
      <c r="B38" s="239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>
        <v>0</v>
      </c>
      <c r="N38" s="239"/>
      <c r="O38" s="239"/>
      <c r="P38" s="239"/>
      <c r="Q38" s="239"/>
      <c r="R38" s="239"/>
      <c r="S38" s="239"/>
      <c r="T38" s="239"/>
      <c r="U38" s="239"/>
      <c r="V38" s="239"/>
      <c r="W38" s="239"/>
      <c r="X38" s="239"/>
      <c r="Y38" s="239"/>
      <c r="Z38" s="239"/>
      <c r="AA38" s="239"/>
      <c r="AB38" s="239"/>
      <c r="AC38" s="239"/>
      <c r="AD38" s="239"/>
      <c r="AE38" s="239"/>
      <c r="AF38" s="239"/>
      <c r="AG38" s="239"/>
      <c r="AH38" s="239"/>
      <c r="AI38" s="239"/>
      <c r="AJ38" s="239"/>
      <c r="AK38" s="239"/>
      <c r="AL38" s="239"/>
      <c r="AM38" s="239"/>
      <c r="AN38" s="239"/>
      <c r="AO38" s="239"/>
      <c r="AP38" s="239">
        <v>0</v>
      </c>
    </row>
    <row r="39" spans="1:42" x14ac:dyDescent="0.25">
      <c r="A39" s="79">
        <v>2030</v>
      </c>
      <c r="B39" s="239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>
        <v>1480000</v>
      </c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39"/>
      <c r="AH39" s="239"/>
      <c r="AI39" s="239"/>
      <c r="AJ39" s="239"/>
      <c r="AK39" s="239"/>
      <c r="AL39" s="239"/>
      <c r="AM39" s="239"/>
      <c r="AN39" s="239"/>
      <c r="AO39" s="239"/>
      <c r="AP39" s="239">
        <v>1480000</v>
      </c>
    </row>
    <row r="40" spans="1:42" x14ac:dyDescent="0.25">
      <c r="A40" s="79">
        <v>2050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>
        <v>2499999.9999999995</v>
      </c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  <c r="AC40" s="239"/>
      <c r="AD40" s="239"/>
      <c r="AE40" s="239"/>
      <c r="AF40" s="239"/>
      <c r="AG40" s="239"/>
      <c r="AH40" s="239"/>
      <c r="AI40" s="239"/>
      <c r="AJ40" s="239"/>
      <c r="AK40" s="239"/>
      <c r="AL40" s="239"/>
      <c r="AM40" s="239"/>
      <c r="AN40" s="239"/>
      <c r="AO40" s="239"/>
      <c r="AP40" s="239">
        <v>2499999.9999999995</v>
      </c>
    </row>
    <row r="41" spans="1:42" x14ac:dyDescent="0.25">
      <c r="A41" s="78" t="s">
        <v>61</v>
      </c>
      <c r="B41" s="239">
        <v>182574.19618217932</v>
      </c>
      <c r="C41" s="239">
        <v>364740.49482092587</v>
      </c>
      <c r="D41" s="239">
        <v>1505994.0516026746</v>
      </c>
      <c r="E41" s="239">
        <v>6124421.8011547513</v>
      </c>
      <c r="F41" s="239">
        <v>281468.55244752642</v>
      </c>
      <c r="G41" s="239">
        <v>30461.771635447156</v>
      </c>
      <c r="H41" s="239">
        <v>150285.8346094953</v>
      </c>
      <c r="I41" s="239">
        <v>1445379.0531089196</v>
      </c>
      <c r="J41" s="239">
        <v>428226</v>
      </c>
      <c r="K41" s="239">
        <v>37507218.136190757</v>
      </c>
      <c r="L41" s="239">
        <v>1513844.376677237</v>
      </c>
      <c r="M41" s="239">
        <v>9017035.8299739454</v>
      </c>
      <c r="N41" s="239">
        <v>2948427</v>
      </c>
      <c r="O41" s="239">
        <v>7473420.2160148323</v>
      </c>
      <c r="P41" s="239">
        <v>2095654.0000000005</v>
      </c>
      <c r="Q41" s="239">
        <v>692260.49385742994</v>
      </c>
      <c r="R41" s="239">
        <v>16657234.45621701</v>
      </c>
      <c r="S41" s="239">
        <v>29706141.585574415</v>
      </c>
      <c r="T41" s="239">
        <v>3858095.0602214416</v>
      </c>
      <c r="U41" s="239">
        <v>14807757.238423865</v>
      </c>
      <c r="V41" s="239">
        <v>2647325.8446415998</v>
      </c>
      <c r="W41" s="239">
        <v>255601.5233243031</v>
      </c>
      <c r="X41" s="239">
        <v>2202698.3666631924</v>
      </c>
      <c r="Y41" s="239">
        <v>2213114.8815490715</v>
      </c>
      <c r="Z41" s="239">
        <v>99191.202831956281</v>
      </c>
      <c r="AA41" s="239">
        <v>14195000.38757316</v>
      </c>
      <c r="AB41" s="239">
        <v>31910098.716199804</v>
      </c>
      <c r="AC41" s="239">
        <v>518948.54735540331</v>
      </c>
      <c r="AD41" s="239">
        <v>485031.96175548917</v>
      </c>
      <c r="AE41" s="239">
        <v>8855381.8104562052</v>
      </c>
      <c r="AF41" s="239">
        <v>2093793.3885746603</v>
      </c>
      <c r="AG41" s="239">
        <v>1016665.78289472</v>
      </c>
      <c r="AH41" s="239">
        <v>2351858.5009355778</v>
      </c>
      <c r="AI41" s="239">
        <v>964464.20850969933</v>
      </c>
      <c r="AJ41" s="239">
        <v>704863.47733222158</v>
      </c>
      <c r="AK41" s="239">
        <v>35138114.071681611</v>
      </c>
      <c r="AL41" s="239">
        <v>4199216.9624190796</v>
      </c>
      <c r="AM41" s="239">
        <v>2228800</v>
      </c>
      <c r="AN41" s="239">
        <v>557200</v>
      </c>
      <c r="AO41" s="239">
        <v>2488069.6941378918</v>
      </c>
      <c r="AP41" s="239">
        <v>251916079.47754857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287</v>
      </c>
      <c r="B2" s="78">
        <v>1</v>
      </c>
    </row>
    <row r="4" spans="1:12" x14ac:dyDescent="0.25">
      <c r="A4" s="77" t="s">
        <v>315</v>
      </c>
      <c r="B4" s="77" t="s">
        <v>62</v>
      </c>
    </row>
    <row r="5" spans="1:12" x14ac:dyDescent="0.25">
      <c r="A5" s="77" t="s">
        <v>60</v>
      </c>
      <c r="B5" s="170" t="s">
        <v>103</v>
      </c>
      <c r="C5" s="170" t="s">
        <v>6</v>
      </c>
      <c r="D5" s="170" t="s">
        <v>104</v>
      </c>
      <c r="E5" s="170" t="s">
        <v>116</v>
      </c>
      <c r="F5" s="170" t="s">
        <v>109</v>
      </c>
      <c r="G5" s="170" t="s">
        <v>14</v>
      </c>
      <c r="H5" s="170" t="s">
        <v>159</v>
      </c>
      <c r="I5" s="170" t="s">
        <v>205</v>
      </c>
      <c r="J5" s="170" t="s">
        <v>54</v>
      </c>
      <c r="K5" s="170" t="s">
        <v>160</v>
      </c>
      <c r="L5" s="170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0</v>
      </c>
      <c r="C7" s="76">
        <v>0</v>
      </c>
      <c r="D7" s="76">
        <v>0</v>
      </c>
      <c r="E7" s="76">
        <v>1719578.7837137314</v>
      </c>
      <c r="F7" s="76">
        <v>59285.001851880224</v>
      </c>
      <c r="G7" s="76">
        <v>13002.37745204167</v>
      </c>
      <c r="H7" s="76">
        <v>142742</v>
      </c>
      <c r="I7" s="76">
        <v>0</v>
      </c>
      <c r="J7" s="76">
        <v>309941.21680873836</v>
      </c>
      <c r="K7" s="76">
        <v>2052345.9505433873</v>
      </c>
      <c r="L7" s="76">
        <v>4296895.3303697798</v>
      </c>
    </row>
    <row r="8" spans="1:12" x14ac:dyDescent="0.25">
      <c r="A8" s="78">
        <v>2050</v>
      </c>
      <c r="B8" s="76">
        <v>0</v>
      </c>
      <c r="C8" s="76">
        <v>0</v>
      </c>
      <c r="D8" s="76">
        <v>0</v>
      </c>
      <c r="E8" s="76">
        <v>1534823.0900252662</v>
      </c>
      <c r="F8" s="76">
        <v>136369.20391162706</v>
      </c>
      <c r="G8" s="76">
        <v>16374.082260121369</v>
      </c>
      <c r="H8" s="76">
        <v>142742</v>
      </c>
      <c r="I8" s="76">
        <v>1265.9326566513337</v>
      </c>
      <c r="J8" s="76">
        <v>366054.31257939187</v>
      </c>
      <c r="K8" s="76">
        <v>0</v>
      </c>
      <c r="L8" s="76">
        <v>2197628.6214330583</v>
      </c>
    </row>
    <row r="9" spans="1:12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4199216.9624190796</v>
      </c>
      <c r="F9" s="76">
        <v>195654.20576350729</v>
      </c>
      <c r="G9" s="76">
        <v>29376.459712163043</v>
      </c>
      <c r="H9" s="76">
        <v>428226</v>
      </c>
      <c r="I9" s="76">
        <v>1265.9326566513337</v>
      </c>
      <c r="J9" s="76">
        <v>1096625.5192295583</v>
      </c>
      <c r="K9" s="76">
        <v>7473420.2160148323</v>
      </c>
      <c r="L9" s="76">
        <v>14280226.6216239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0" bestFit="1" customWidth="1"/>
    <col min="2" max="2" width="16.28515625" style="170" bestFit="1" customWidth="1"/>
    <col min="3" max="3" width="9.85546875" style="170" bestFit="1" customWidth="1"/>
    <col min="4" max="4" width="11" style="170" bestFit="1" customWidth="1"/>
    <col min="5" max="5" width="11.5703125" style="170" bestFit="1" customWidth="1"/>
    <col min="6" max="6" width="11.140625" style="170" bestFit="1" customWidth="1"/>
    <col min="7" max="8" width="9.85546875" style="170" bestFit="1" customWidth="1"/>
    <col min="9" max="9" width="10.85546875" style="170" bestFit="1" customWidth="1"/>
    <col min="10" max="10" width="13.140625" style="170" bestFit="1" customWidth="1"/>
    <col min="11" max="12" width="9.85546875" style="170" bestFit="1" customWidth="1"/>
    <col min="13" max="13" width="13.85546875" style="170" bestFit="1" customWidth="1"/>
    <col min="14" max="14" width="9.85546875" style="170" bestFit="1" customWidth="1"/>
    <col min="15" max="15" width="16" style="170" bestFit="1" customWidth="1"/>
    <col min="16" max="16" width="10" style="170" bestFit="1" customWidth="1"/>
    <col min="17" max="17" width="8.7109375" style="170" bestFit="1" customWidth="1"/>
    <col min="18" max="18" width="11" style="170" bestFit="1" customWidth="1"/>
    <col min="19" max="19" width="9.85546875" style="170" bestFit="1" customWidth="1"/>
    <col min="20" max="20" width="21" style="170" bestFit="1" customWidth="1"/>
    <col min="21" max="21" width="20.7109375" style="170" bestFit="1" customWidth="1"/>
    <col min="22" max="22" width="9.85546875" style="170" bestFit="1" customWidth="1"/>
    <col min="23" max="23" width="7.140625" style="170" bestFit="1" customWidth="1"/>
    <col min="24" max="24" width="16" style="170" bestFit="1" customWidth="1"/>
    <col min="25" max="25" width="8.85546875" style="170" bestFit="1" customWidth="1"/>
    <col min="26" max="26" width="12.5703125" style="170" bestFit="1" customWidth="1"/>
    <col min="27" max="28" width="9.85546875" style="170" bestFit="1" customWidth="1"/>
    <col min="29" max="29" width="9.28515625" style="170" bestFit="1" customWidth="1"/>
    <col min="30" max="30" width="11.28515625" style="170" bestFit="1" customWidth="1"/>
    <col min="31" max="32" width="10.140625" style="170" bestFit="1" customWidth="1"/>
    <col min="33" max="33" width="12.140625" style="170" bestFit="1" customWidth="1"/>
    <col min="34" max="34" width="8.85546875" style="170" bestFit="1" customWidth="1"/>
    <col min="35" max="35" width="15.42578125" style="170" bestFit="1" customWidth="1"/>
    <col min="36" max="36" width="16" style="170" bestFit="1" customWidth="1"/>
    <col min="37" max="37" width="8.85546875" style="170" bestFit="1" customWidth="1"/>
    <col min="38" max="38" width="12.5703125" style="170" bestFit="1" customWidth="1"/>
    <col min="39" max="39" width="10.42578125" style="170" bestFit="1" customWidth="1"/>
    <col min="40" max="40" width="12.28515625" style="170" bestFit="1" customWidth="1"/>
    <col min="41" max="41" width="14.5703125" style="170" bestFit="1" customWidth="1"/>
    <col min="42" max="43" width="9.85546875" style="170" bestFit="1" customWidth="1"/>
    <col min="44" max="44" width="14" style="170" bestFit="1" customWidth="1"/>
    <col min="45" max="45" width="6.7109375" style="170" bestFit="1" customWidth="1"/>
    <col min="46" max="46" width="9.28515625" style="170" bestFit="1" customWidth="1"/>
    <col min="47" max="47" width="8.5703125" style="170" bestFit="1" customWidth="1"/>
    <col min="48" max="48" width="12" style="170" bestFit="1" customWidth="1"/>
    <col min="49" max="49" width="12.28515625" style="170" bestFit="1" customWidth="1"/>
    <col min="50" max="50" width="13.28515625" style="170" bestFit="1" customWidth="1"/>
    <col min="51" max="51" width="13.42578125" style="170" bestFit="1" customWidth="1"/>
    <col min="52" max="52" width="20.85546875" style="170" bestFit="1" customWidth="1"/>
    <col min="53" max="54" width="12.28515625" style="170" bestFit="1" customWidth="1"/>
    <col min="55" max="55" width="13.28515625" style="170" bestFit="1" customWidth="1"/>
    <col min="56" max="59" width="12.28515625" style="170" bestFit="1" customWidth="1"/>
    <col min="60" max="60" width="13.28515625" style="170" bestFit="1" customWidth="1"/>
    <col min="61" max="61" width="13.42578125" style="170" bestFit="1" customWidth="1"/>
    <col min="62" max="62" width="20.85546875" style="170" bestFit="1" customWidth="1"/>
    <col min="63" max="64" width="12.28515625" style="170" bestFit="1" customWidth="1"/>
    <col min="65" max="65" width="13.28515625" style="170" bestFit="1" customWidth="1"/>
    <col min="66" max="66" width="13.42578125" style="170" bestFit="1" customWidth="1"/>
    <col min="67" max="67" width="20.85546875" style="170" bestFit="1" customWidth="1"/>
    <col min="68" max="69" width="11.28515625" style="170" bestFit="1" customWidth="1"/>
    <col min="70" max="70" width="13.28515625" style="170" bestFit="1" customWidth="1"/>
    <col min="71" max="71" width="13.42578125" style="170" bestFit="1" customWidth="1"/>
    <col min="72" max="72" width="12.28515625" style="170" bestFit="1" customWidth="1"/>
    <col min="73" max="73" width="16.85546875" style="170" bestFit="1" customWidth="1"/>
    <col min="74" max="74" width="12.28515625" style="170" bestFit="1" customWidth="1"/>
    <col min="75" max="75" width="13.28515625" style="170" bestFit="1" customWidth="1"/>
    <col min="76" max="76" width="13.42578125" style="170" bestFit="1" customWidth="1"/>
    <col min="77" max="77" width="12.28515625" style="170" bestFit="1" customWidth="1"/>
    <col min="78" max="78" width="16.85546875" style="170" bestFit="1" customWidth="1"/>
    <col min="79" max="79" width="12.28515625" style="170" bestFit="1" customWidth="1"/>
    <col min="80" max="80" width="13.28515625" style="170" bestFit="1" customWidth="1"/>
    <col min="81" max="81" width="13.42578125" style="170" bestFit="1" customWidth="1"/>
    <col min="82" max="82" width="12.28515625" style="170" bestFit="1" customWidth="1"/>
    <col min="83" max="83" width="15.85546875" style="170" bestFit="1" customWidth="1"/>
    <col min="84" max="84" width="12.28515625" style="170" bestFit="1" customWidth="1"/>
    <col min="85" max="85" width="13.28515625" style="170" bestFit="1" customWidth="1"/>
    <col min="86" max="89" width="11.7109375" style="170" bestFit="1" customWidth="1"/>
    <col min="90" max="90" width="14.28515625" style="170" bestFit="1" customWidth="1"/>
    <col min="91" max="91" width="13.42578125" style="170" bestFit="1" customWidth="1"/>
    <col min="92" max="92" width="20.85546875" style="170" bestFit="1" customWidth="1"/>
    <col min="93" max="94" width="11.7109375" style="170" bestFit="1" customWidth="1"/>
    <col min="95" max="95" width="14.28515625" style="170" bestFit="1" customWidth="1"/>
    <col min="96" max="96" width="13.42578125" style="170" bestFit="1" customWidth="1"/>
    <col min="97" max="97" width="20.85546875" style="170" bestFit="1" customWidth="1"/>
    <col min="98" max="99" width="12.28515625" style="170" bestFit="1" customWidth="1"/>
    <col min="100" max="100" width="14.28515625" style="170" bestFit="1" customWidth="1"/>
    <col min="101" max="101" width="12.28515625" style="170" bestFit="1" customWidth="1"/>
    <col min="102" max="103" width="13.28515625" style="170" bestFit="1" customWidth="1"/>
    <col min="104" max="104" width="13.42578125" style="170" bestFit="1" customWidth="1"/>
    <col min="105" max="105" width="20.85546875" style="170" bestFit="1" customWidth="1"/>
    <col min="106" max="107" width="12.28515625" style="170" bestFit="1" customWidth="1"/>
    <col min="108" max="109" width="13.28515625" style="170" bestFit="1" customWidth="1"/>
    <col min="110" max="113" width="11.7109375" style="170" bestFit="1" customWidth="1"/>
    <col min="114" max="115" width="13.28515625" style="170" bestFit="1" customWidth="1"/>
    <col min="116" max="116" width="13.42578125" style="170" bestFit="1" customWidth="1"/>
    <col min="117" max="117" width="20.85546875" style="170" bestFit="1" customWidth="1"/>
    <col min="118" max="120" width="11.7109375" style="170" bestFit="1" customWidth="1"/>
    <col min="121" max="121" width="13.28515625" style="170" bestFit="1" customWidth="1"/>
    <col min="122" max="122" width="13.42578125" style="170" bestFit="1" customWidth="1"/>
    <col min="123" max="123" width="12.28515625" style="170" bestFit="1" customWidth="1"/>
    <col min="124" max="124" width="15.85546875" style="170" bestFit="1" customWidth="1"/>
    <col min="125" max="125" width="12.28515625" style="170" bestFit="1" customWidth="1"/>
    <col min="126" max="127" width="13.28515625" style="170" bestFit="1" customWidth="1"/>
    <col min="128" max="128" width="13.42578125" style="170" bestFit="1" customWidth="1"/>
    <col min="129" max="129" width="20.85546875" style="170" bestFit="1" customWidth="1"/>
    <col min="130" max="131" width="11.28515625" style="170" bestFit="1" customWidth="1"/>
    <col min="132" max="133" width="13.28515625" style="170" bestFit="1" customWidth="1"/>
    <col min="134" max="134" width="13.42578125" style="170" bestFit="1" customWidth="1"/>
    <col min="135" max="135" width="20.85546875" style="170" bestFit="1" customWidth="1"/>
    <col min="136" max="137" width="12.28515625" style="170" bestFit="1" customWidth="1"/>
    <col min="138" max="139" width="13.28515625" style="170" bestFit="1" customWidth="1"/>
    <col min="140" max="143" width="12.28515625" style="170" bestFit="1" customWidth="1"/>
    <col min="144" max="145" width="13.28515625" style="170" bestFit="1" customWidth="1"/>
    <col min="146" max="146" width="13.42578125" style="170" bestFit="1" customWidth="1"/>
    <col min="147" max="147" width="12.28515625" style="170" bestFit="1" customWidth="1"/>
    <col min="148" max="148" width="16.85546875" style="170" bestFit="1" customWidth="1"/>
    <col min="149" max="149" width="12.28515625" style="170" bestFit="1" customWidth="1"/>
    <col min="150" max="151" width="13.28515625" style="170" bestFit="1" customWidth="1"/>
    <col min="152" max="152" width="13.42578125" style="170" bestFit="1" customWidth="1"/>
    <col min="153" max="153" width="12.28515625" style="170" bestFit="1" customWidth="1"/>
    <col min="154" max="154" width="16.85546875" style="170" bestFit="1" customWidth="1"/>
    <col min="155" max="155" width="12.28515625" style="170" bestFit="1" customWidth="1"/>
    <col min="156" max="157" width="13.28515625" style="170" bestFit="1" customWidth="1"/>
    <col min="158" max="158" width="13.42578125" style="170" bestFit="1" customWidth="1"/>
    <col min="159" max="159" width="20.85546875" style="170" bestFit="1" customWidth="1"/>
    <col min="160" max="161" width="12.28515625" style="170" bestFit="1" customWidth="1"/>
    <col min="162" max="163" width="14.28515625" style="170" bestFit="1" customWidth="1"/>
    <col min="164" max="164" width="13.42578125" style="170" bestFit="1" customWidth="1"/>
    <col min="165" max="165" width="20.85546875" style="170" bestFit="1" customWidth="1"/>
    <col min="166" max="167" width="11.7109375" style="170" bestFit="1" customWidth="1"/>
    <col min="168" max="169" width="14.28515625" style="170" bestFit="1" customWidth="1"/>
    <col min="170" max="173" width="11.7109375" style="170" bestFit="1" customWidth="1"/>
    <col min="174" max="175" width="14.28515625" style="170" bestFit="1" customWidth="1"/>
    <col min="176" max="176" width="12.28515625" style="170" bestFit="1" customWidth="1"/>
    <col min="177" max="16384" width="9.140625" style="170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0" t="s">
        <v>15</v>
      </c>
      <c r="C5" s="170" t="s">
        <v>49</v>
      </c>
      <c r="D5" s="170" t="s">
        <v>111</v>
      </c>
      <c r="E5" s="170" t="s">
        <v>102</v>
      </c>
      <c r="F5" s="170" t="s">
        <v>97</v>
      </c>
      <c r="G5" s="170" t="s">
        <v>114</v>
      </c>
      <c r="H5" s="170" t="s">
        <v>51</v>
      </c>
      <c r="I5" s="170" t="s">
        <v>6</v>
      </c>
      <c r="J5" s="170" t="s">
        <v>104</v>
      </c>
      <c r="K5" s="170" t="s">
        <v>12</v>
      </c>
      <c r="L5" s="170" t="s">
        <v>48</v>
      </c>
      <c r="M5" s="170" t="s">
        <v>109</v>
      </c>
      <c r="N5" s="170" t="s">
        <v>53</v>
      </c>
      <c r="O5" s="170" t="s">
        <v>117</v>
      </c>
      <c r="P5" s="170" t="s">
        <v>107</v>
      </c>
      <c r="Q5" s="170" t="s">
        <v>14</v>
      </c>
      <c r="R5" s="170" t="s">
        <v>118</v>
      </c>
      <c r="S5" s="170" t="s">
        <v>52</v>
      </c>
      <c r="T5" s="170" t="s">
        <v>122</v>
      </c>
      <c r="U5" s="170" t="s">
        <v>108</v>
      </c>
      <c r="V5" s="170" t="s">
        <v>13</v>
      </c>
      <c r="W5" s="170" t="s">
        <v>100</v>
      </c>
      <c r="X5" s="170" t="s">
        <v>141</v>
      </c>
      <c r="Y5" s="170" t="s">
        <v>209</v>
      </c>
      <c r="Z5" s="170" t="s">
        <v>205</v>
      </c>
      <c r="AA5" s="170" t="s">
        <v>56</v>
      </c>
      <c r="AB5" s="170" t="s">
        <v>55</v>
      </c>
      <c r="AC5" s="170" t="s">
        <v>239</v>
      </c>
      <c r="AD5" s="170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150386.53466598582</v>
      </c>
      <c r="C7" s="98">
        <v>817971.94534569292</v>
      </c>
      <c r="D7" s="98">
        <v>5519430.086039965</v>
      </c>
      <c r="E7" s="98">
        <v>644796.10799822072</v>
      </c>
      <c r="F7" s="98">
        <v>114763.14848826305</v>
      </c>
      <c r="G7" s="98">
        <v>1227194.2671304212</v>
      </c>
      <c r="H7" s="98">
        <v>3800037.3179096282</v>
      </c>
      <c r="I7" s="98">
        <v>1337439.7243202887</v>
      </c>
      <c r="J7" s="98">
        <v>27322.703414779302</v>
      </c>
      <c r="K7" s="98">
        <v>2390207.8339985022</v>
      </c>
      <c r="L7" s="98">
        <v>463910.9333094554</v>
      </c>
      <c r="M7" s="98"/>
      <c r="N7" s="98">
        <v>272080.00153552275</v>
      </c>
      <c r="O7" s="98">
        <v>1481761.7321659857</v>
      </c>
      <c r="P7" s="98">
        <v>27045.758448627814</v>
      </c>
      <c r="Q7" s="98"/>
      <c r="R7" s="98">
        <v>3679991.2256067996</v>
      </c>
      <c r="S7" s="98">
        <v>87842.254782762393</v>
      </c>
      <c r="T7" s="98">
        <v>137474.82233829348</v>
      </c>
      <c r="U7" s="98">
        <v>60432.719597235184</v>
      </c>
      <c r="V7" s="98">
        <v>807532.93911272357</v>
      </c>
      <c r="W7" s="98">
        <v>1800</v>
      </c>
      <c r="X7" s="98">
        <v>2547842.5185697651</v>
      </c>
      <c r="Y7" s="98">
        <v>451836.27227903891</v>
      </c>
      <c r="Z7" s="98">
        <v>607.97945347345376</v>
      </c>
      <c r="AA7" s="98">
        <v>784204.49622095283</v>
      </c>
      <c r="AB7" s="98">
        <v>1721625.1443412229</v>
      </c>
      <c r="AC7" s="98">
        <v>36494.652997442659</v>
      </c>
      <c r="AD7" s="98">
        <v>28592033.120071046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117613.2349022421</v>
      </c>
      <c r="C8" s="98">
        <v>485996.40235160722</v>
      </c>
      <c r="D8" s="98">
        <v>8348412.5260883253</v>
      </c>
      <c r="E8" s="98">
        <v>147349.11768351006</v>
      </c>
      <c r="F8" s="98">
        <v>89919.810232660064</v>
      </c>
      <c r="G8" s="98">
        <v>922709.36356099392</v>
      </c>
      <c r="H8" s="98">
        <v>62104.977447957266</v>
      </c>
      <c r="I8" s="98">
        <v>939086.15398809616</v>
      </c>
      <c r="J8" s="98">
        <v>32949.639784893865</v>
      </c>
      <c r="K8" s="98">
        <v>1796476.0695982594</v>
      </c>
      <c r="L8" s="98">
        <v>796640.21862734342</v>
      </c>
      <c r="M8" s="98"/>
      <c r="N8" s="98">
        <v>30250.2127053187</v>
      </c>
      <c r="O8" s="98">
        <v>500864.14768866642</v>
      </c>
      <c r="P8" s="98">
        <v>202843.18836470862</v>
      </c>
      <c r="Q8" s="98"/>
      <c r="R8" s="98">
        <v>2211078.469678557</v>
      </c>
      <c r="S8" s="98">
        <v>147834.94076348573</v>
      </c>
      <c r="T8" s="98">
        <v>76157.983438092793</v>
      </c>
      <c r="U8" s="98">
        <v>29630.916869937289</v>
      </c>
      <c r="V8" s="98">
        <v>432714.9877323602</v>
      </c>
      <c r="W8" s="98">
        <v>13500</v>
      </c>
      <c r="X8" s="98">
        <v>754939.87256516144</v>
      </c>
      <c r="Y8" s="98">
        <v>168081.55503050049</v>
      </c>
      <c r="Z8" s="98"/>
      <c r="AA8" s="98">
        <v>606417.73735835799</v>
      </c>
      <c r="AB8" s="98">
        <v>1332184.8020262157</v>
      </c>
      <c r="AC8" s="98">
        <v>1564.288778499671</v>
      </c>
      <c r="AD8" s="98">
        <v>20247320.617265746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444596.66897022375</v>
      </c>
      <c r="C9" s="98">
        <v>1516679.3574530468</v>
      </c>
      <c r="D9" s="98">
        <v>17098371.684369802</v>
      </c>
      <c r="E9" s="98">
        <v>2144363.2328245882</v>
      </c>
      <c r="F9" s="98">
        <v>342958.23874982225</v>
      </c>
      <c r="G9" s="98">
        <v>3652461.66629963</v>
      </c>
      <c r="H9" s="98">
        <v>7980146.0056577511</v>
      </c>
      <c r="I9" s="98">
        <v>2276525.8783083847</v>
      </c>
      <c r="J9" s="98">
        <v>60272.343199673167</v>
      </c>
      <c r="K9" s="98">
        <v>6227557.6544628963</v>
      </c>
      <c r="L9" s="98">
        <v>3235221.4812482181</v>
      </c>
      <c r="M9" s="98">
        <v>51892.132620096323</v>
      </c>
      <c r="N9" s="98">
        <v>1568592.4605083335</v>
      </c>
      <c r="O9" s="98">
        <v>4519409.1211835919</v>
      </c>
      <c r="P9" s="98">
        <v>230769.04681333643</v>
      </c>
      <c r="Q9" s="98">
        <v>8064.2063400965635</v>
      </c>
      <c r="R9" s="98">
        <v>11160069.695285356</v>
      </c>
      <c r="S9" s="98">
        <v>1892041.8370471625</v>
      </c>
      <c r="T9" s="98">
        <v>430643.17321190954</v>
      </c>
      <c r="U9" s="98">
        <v>196009.94803912772</v>
      </c>
      <c r="V9" s="98">
        <v>2622899.3580239904</v>
      </c>
      <c r="W9" s="98">
        <v>15376.5</v>
      </c>
      <c r="X9" s="98">
        <v>7671106.2928135861</v>
      </c>
      <c r="Y9" s="98">
        <v>619917.82730953943</v>
      </c>
      <c r="Z9" s="98">
        <v>607.97945347345376</v>
      </c>
      <c r="AA9" s="98">
        <v>2302196.8760643774</v>
      </c>
      <c r="AB9" s="98">
        <v>5058912.117768215</v>
      </c>
      <c r="AC9" s="98">
        <v>136884.97482189687</v>
      </c>
      <c r="AD9" s="98">
        <v>83464547.758848131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AC202" sqref="AC202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0" t="s">
        <v>231</v>
      </c>
      <c r="C4" s="170" t="s">
        <v>159</v>
      </c>
      <c r="D4" s="170" t="s">
        <v>225</v>
      </c>
      <c r="E4" s="170" t="s">
        <v>228</v>
      </c>
      <c r="F4" s="170" t="s">
        <v>227</v>
      </c>
      <c r="G4" s="170" t="s">
        <v>223</v>
      </c>
      <c r="H4" s="170" t="s">
        <v>232</v>
      </c>
      <c r="I4" s="170" t="s">
        <v>226</v>
      </c>
      <c r="J4" s="170" t="s">
        <v>322</v>
      </c>
      <c r="K4" s="170" t="s">
        <v>61</v>
      </c>
    </row>
    <row r="5" spans="1:11" x14ac:dyDescent="0.25">
      <c r="A5" s="78" t="s">
        <v>294</v>
      </c>
      <c r="B5" s="237"/>
      <c r="C5" s="237"/>
      <c r="D5" s="237"/>
      <c r="E5" s="237"/>
      <c r="F5" s="237"/>
      <c r="G5" s="237"/>
      <c r="H5" s="237"/>
      <c r="I5" s="237"/>
      <c r="J5" s="237"/>
      <c r="K5" s="237"/>
    </row>
    <row r="6" spans="1:11" x14ac:dyDescent="0.25">
      <c r="A6" s="79">
        <v>2019</v>
      </c>
      <c r="B6" s="237">
        <v>17.543930524502301</v>
      </c>
      <c r="C6" s="237">
        <v>0</v>
      </c>
      <c r="D6" s="237">
        <v>0</v>
      </c>
      <c r="E6" s="237">
        <v>19.573590488557194</v>
      </c>
      <c r="F6" s="237">
        <v>0</v>
      </c>
      <c r="G6" s="237">
        <v>0</v>
      </c>
      <c r="H6" s="237">
        <v>3.951047127829578</v>
      </c>
      <c r="I6" s="237">
        <v>47.489094924341849</v>
      </c>
      <c r="J6" s="237">
        <v>0</v>
      </c>
      <c r="K6" s="237">
        <v>88.557663065230912</v>
      </c>
    </row>
    <row r="7" spans="1:11" x14ac:dyDescent="0.25">
      <c r="A7" s="79">
        <v>2030</v>
      </c>
      <c r="B7" s="237">
        <v>5.2637363992480983</v>
      </c>
      <c r="C7" s="237">
        <v>0</v>
      </c>
      <c r="D7" s="237">
        <v>8.2067682589721134</v>
      </c>
      <c r="E7" s="237">
        <v>17.356841436004114</v>
      </c>
      <c r="F7" s="237">
        <v>2.5889068207643463E-2</v>
      </c>
      <c r="G7" s="237">
        <v>1.3888908166281677</v>
      </c>
      <c r="H7" s="237">
        <v>9.0612696687551963</v>
      </c>
      <c r="I7" s="237">
        <v>44.637809685126449</v>
      </c>
      <c r="J7" s="237">
        <v>14.320479999999996</v>
      </c>
      <c r="K7" s="237">
        <v>100.26168533294177</v>
      </c>
    </row>
    <row r="8" spans="1:11" x14ac:dyDescent="0.25">
      <c r="A8" s="79">
        <v>2050</v>
      </c>
      <c r="B8" s="237">
        <v>4.2939929930570866</v>
      </c>
      <c r="C8" s="237">
        <v>0</v>
      </c>
      <c r="D8" s="237">
        <v>0.62409360162388539</v>
      </c>
      <c r="E8" s="237">
        <v>9.692541999309384</v>
      </c>
      <c r="F8" s="237">
        <v>0.19416801155732599</v>
      </c>
      <c r="G8" s="237">
        <v>0.31738999949028068</v>
      </c>
      <c r="H8" s="237">
        <v>8.0107844843541365</v>
      </c>
      <c r="I8" s="237">
        <v>45.143769899352193</v>
      </c>
      <c r="J8" s="237">
        <v>24.189999999999991</v>
      </c>
      <c r="K8" s="237">
        <v>92.466740988744277</v>
      </c>
    </row>
    <row r="9" spans="1:11" x14ac:dyDescent="0.25">
      <c r="A9" s="78" t="s">
        <v>246</v>
      </c>
      <c r="B9" s="237"/>
      <c r="C9" s="237"/>
      <c r="D9" s="237"/>
      <c r="E9" s="237"/>
      <c r="F9" s="237"/>
      <c r="G9" s="237"/>
      <c r="H9" s="237"/>
      <c r="I9" s="237"/>
      <c r="J9" s="237"/>
      <c r="K9" s="237"/>
    </row>
    <row r="10" spans="1:11" x14ac:dyDescent="0.25">
      <c r="A10" s="79">
        <v>2019</v>
      </c>
      <c r="B10" s="237">
        <v>7.483154704207001</v>
      </c>
      <c r="C10" s="237">
        <v>2.1694819870080004</v>
      </c>
      <c r="D10" s="237">
        <v>1.4201719861750002</v>
      </c>
      <c r="E10" s="237">
        <v>0.45076703431999998</v>
      </c>
      <c r="F10" s="237">
        <v>0</v>
      </c>
      <c r="G10" s="237">
        <v>5.0922829580050024</v>
      </c>
      <c r="H10" s="237">
        <v>0</v>
      </c>
      <c r="I10" s="237">
        <v>0</v>
      </c>
      <c r="J10" s="237">
        <v>0</v>
      </c>
      <c r="K10" s="237">
        <v>16.615858669715003</v>
      </c>
    </row>
    <row r="11" spans="1:11" x14ac:dyDescent="0.25">
      <c r="A11" s="79">
        <v>2030</v>
      </c>
      <c r="B11" s="237">
        <v>7.6462644832484088</v>
      </c>
      <c r="C11" s="237">
        <v>2.1694819870080004</v>
      </c>
      <c r="D11" s="237">
        <v>0</v>
      </c>
      <c r="E11" s="237">
        <v>0</v>
      </c>
      <c r="F11" s="237">
        <v>0</v>
      </c>
      <c r="G11" s="237">
        <v>10.07935124113872</v>
      </c>
      <c r="H11" s="237">
        <v>0</v>
      </c>
      <c r="I11" s="237">
        <v>0</v>
      </c>
      <c r="J11" s="237">
        <v>0</v>
      </c>
      <c r="K11" s="237">
        <v>19.895097711395131</v>
      </c>
    </row>
    <row r="12" spans="1:11" x14ac:dyDescent="0.25">
      <c r="A12" s="79">
        <v>2050</v>
      </c>
      <c r="B12" s="237">
        <v>8.7096084781369978</v>
      </c>
      <c r="C12" s="237">
        <v>2.1694819870080004</v>
      </c>
      <c r="D12" s="237">
        <v>0</v>
      </c>
      <c r="E12" s="237">
        <v>0</v>
      </c>
      <c r="F12" s="237">
        <v>0</v>
      </c>
      <c r="G12" s="237">
        <v>9.0556213344374008</v>
      </c>
      <c r="H12" s="237">
        <v>0</v>
      </c>
      <c r="I12" s="237">
        <v>0</v>
      </c>
      <c r="J12" s="237">
        <v>0</v>
      </c>
      <c r="K12" s="237">
        <v>19.934711799582399</v>
      </c>
    </row>
    <row r="13" spans="1:11" x14ac:dyDescent="0.25">
      <c r="A13" s="78" t="s">
        <v>295</v>
      </c>
      <c r="B13" s="237">
        <v>27.101659916807485</v>
      </c>
      <c r="C13" s="237">
        <v>0</v>
      </c>
      <c r="D13" s="237">
        <v>8.8308618605959985</v>
      </c>
      <c r="E13" s="237">
        <v>46.622973923870688</v>
      </c>
      <c r="F13" s="237">
        <v>0.22005707976496947</v>
      </c>
      <c r="G13" s="237">
        <v>1.7062808161184484</v>
      </c>
      <c r="H13" s="237">
        <v>21.02310128093891</v>
      </c>
      <c r="I13" s="237">
        <v>137.27067450882049</v>
      </c>
      <c r="J13" s="237">
        <v>38.510479999999987</v>
      </c>
      <c r="K13" s="237">
        <v>281.28608938691696</v>
      </c>
    </row>
    <row r="14" spans="1:11" x14ac:dyDescent="0.25">
      <c r="A14" s="78" t="s">
        <v>247</v>
      </c>
      <c r="B14" s="237">
        <v>23.839027665592408</v>
      </c>
      <c r="C14" s="237">
        <v>6.5084459610240017</v>
      </c>
      <c r="D14" s="237">
        <v>1.4201719861750002</v>
      </c>
      <c r="E14" s="237">
        <v>0.45076703431999998</v>
      </c>
      <c r="F14" s="237">
        <v>0</v>
      </c>
      <c r="G14" s="237">
        <v>24.227255533581122</v>
      </c>
      <c r="H14" s="237">
        <v>0</v>
      </c>
      <c r="I14" s="237">
        <v>0</v>
      </c>
      <c r="J14" s="237">
        <v>0</v>
      </c>
      <c r="K14" s="237">
        <v>56.445668180692536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0" t="s">
        <v>231</v>
      </c>
      <c r="C2" s="170" t="s">
        <v>159</v>
      </c>
      <c r="D2" s="170" t="s">
        <v>225</v>
      </c>
      <c r="E2" s="170" t="s">
        <v>228</v>
      </c>
      <c r="F2" s="170" t="s">
        <v>227</v>
      </c>
      <c r="G2" s="170" t="s">
        <v>223</v>
      </c>
      <c r="H2" s="170" t="s">
        <v>226</v>
      </c>
      <c r="I2" s="170" t="s">
        <v>61</v>
      </c>
    </row>
    <row r="3" spans="1:9" x14ac:dyDescent="0.25">
      <c r="A3" s="78">
        <v>2019</v>
      </c>
      <c r="B3" s="238">
        <v>1077304.94</v>
      </c>
      <c r="C3" s="238">
        <v>128467.8</v>
      </c>
      <c r="D3" s="238">
        <v>128726.35999999999</v>
      </c>
      <c r="E3" s="238">
        <v>1675417.9906552273</v>
      </c>
      <c r="F3" s="238">
        <v>0</v>
      </c>
      <c r="G3" s="238">
        <v>704016.11583333346</v>
      </c>
      <c r="H3" s="238">
        <v>1575873.4784311759</v>
      </c>
      <c r="I3" s="238">
        <v>5289806.6849197373</v>
      </c>
    </row>
    <row r="4" spans="1:9" x14ac:dyDescent="0.25">
      <c r="A4" s="78">
        <v>2030</v>
      </c>
      <c r="B4" s="238">
        <v>1157763.9191905274</v>
      </c>
      <c r="C4" s="238">
        <v>128467.8</v>
      </c>
      <c r="D4" s="238">
        <v>1163202.9004319054</v>
      </c>
      <c r="E4" s="238">
        <v>1440548.1525203786</v>
      </c>
      <c r="F4" s="238">
        <v>4326.8637672941713</v>
      </c>
      <c r="G4" s="238">
        <v>1569479.6170621489</v>
      </c>
      <c r="H4" s="238">
        <v>1488854.9594638841</v>
      </c>
      <c r="I4" s="238">
        <v>6952644.2124361387</v>
      </c>
    </row>
    <row r="5" spans="1:9" x14ac:dyDescent="0.25">
      <c r="A5" s="78">
        <v>2050</v>
      </c>
      <c r="B5" s="238">
        <v>1153576.8289864096</v>
      </c>
      <c r="C5" s="238">
        <v>128467.8</v>
      </c>
      <c r="D5" s="238">
        <v>56031.445649720801</v>
      </c>
      <c r="E5" s="238">
        <v>819679.78906191699</v>
      </c>
      <c r="F5" s="238">
        <v>32451.47825470629</v>
      </c>
      <c r="G5" s="238">
        <v>1293053.5972113092</v>
      </c>
      <c r="H5" s="238">
        <v>1516284.0799882656</v>
      </c>
      <c r="I5" s="238">
        <v>4999545.0191523284</v>
      </c>
    </row>
    <row r="6" spans="1:9" x14ac:dyDescent="0.25">
      <c r="A6" s="78" t="s">
        <v>61</v>
      </c>
      <c r="B6" s="238">
        <v>3388645.6881769369</v>
      </c>
      <c r="C6" s="238">
        <v>385403.4</v>
      </c>
      <c r="D6" s="238">
        <v>1347960.706081626</v>
      </c>
      <c r="E6" s="238">
        <v>3935645.9322375227</v>
      </c>
      <c r="F6" s="238">
        <v>36778.342022000463</v>
      </c>
      <c r="G6" s="238">
        <v>3566549.3301067916</v>
      </c>
      <c r="H6" s="238">
        <v>4581012.5178833259</v>
      </c>
      <c r="I6" s="238">
        <v>17241995.916508205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0" t="s">
        <v>112</v>
      </c>
      <c r="C2" s="170" t="s">
        <v>201</v>
      </c>
      <c r="D2" s="170" t="s">
        <v>194</v>
      </c>
      <c r="E2" s="170" t="s">
        <v>195</v>
      </c>
      <c r="F2" s="170" t="s">
        <v>10</v>
      </c>
      <c r="G2" s="170" t="s">
        <v>266</v>
      </c>
      <c r="H2" s="170" t="s">
        <v>320</v>
      </c>
      <c r="I2" s="170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6418981.0641350169</v>
      </c>
      <c r="C4" s="98">
        <v>-4456.0528686777052</v>
      </c>
      <c r="D4" s="98">
        <v>4093172.2025398235</v>
      </c>
      <c r="E4" s="98">
        <v>6029088.3887261683</v>
      </c>
      <c r="F4" s="98">
        <v>-2465700.867643958</v>
      </c>
      <c r="G4" s="98">
        <v>-267175.93995166855</v>
      </c>
      <c r="H4" s="98">
        <v>-965946.66666666663</v>
      </c>
      <c r="I4" s="98">
        <v>12837962.128270037</v>
      </c>
    </row>
    <row r="5" spans="1:9" x14ac:dyDescent="0.25">
      <c r="A5" s="78">
        <v>2050</v>
      </c>
      <c r="B5" s="98">
        <v>-93896.599884833326</v>
      </c>
      <c r="C5" s="98">
        <v>-33420.396515082793</v>
      </c>
      <c r="D5" s="98">
        <v>2679380.6676877476</v>
      </c>
      <c r="E5" s="98">
        <v>4288624.3969176989</v>
      </c>
      <c r="F5" s="98">
        <v>-5188850.6936776666</v>
      </c>
      <c r="G5" s="98">
        <v>-207963.90763086351</v>
      </c>
      <c r="H5" s="98">
        <v>-1631666.666666666</v>
      </c>
      <c r="I5" s="98">
        <v>-187793.19976966642</v>
      </c>
    </row>
    <row r="6" spans="1:9" x14ac:dyDescent="0.25">
      <c r="A6" s="78" t="s">
        <v>61</v>
      </c>
      <c r="B6" s="98">
        <v>20842546.906626027</v>
      </c>
      <c r="C6" s="98">
        <v>-38034.886583760497</v>
      </c>
      <c r="D6" s="98">
        <v>12291814.770964287</v>
      </c>
      <c r="E6" s="98">
        <v>20043178.975378051</v>
      </c>
      <c r="F6" s="98">
        <v>-8216451.5613216246</v>
      </c>
      <c r="G6" s="98">
        <v>-640347.05847759172</v>
      </c>
      <c r="H6" s="98">
        <v>-2597613.3333333326</v>
      </c>
      <c r="I6" s="98">
        <v>41685093.813252047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0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0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0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0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0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0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0" customFormat="1" x14ac:dyDescent="0.25">
      <c r="A9" s="170" t="s">
        <v>23</v>
      </c>
      <c r="B9" s="170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0" t="s">
        <v>266</v>
      </c>
      <c r="E9" s="170" t="s">
        <v>266</v>
      </c>
      <c r="G9" s="170" t="s">
        <v>266</v>
      </c>
    </row>
    <row r="10" spans="1:9" s="170" customFormat="1" x14ac:dyDescent="0.25">
      <c r="A10" s="170" t="s">
        <v>23</v>
      </c>
      <c r="B10" s="170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0" t="s">
        <v>320</v>
      </c>
      <c r="E10" s="170" t="s">
        <v>320</v>
      </c>
      <c r="G10" s="170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5389346.6093405858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0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3757296.2112734024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0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3681286.4198718574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0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1037730.0552441033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0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0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-3561.6923706055804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0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-2130264.6471044431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0" customFormat="1" x14ac:dyDescent="0.25">
      <c r="A18" s="170" t="s">
        <v>23</v>
      </c>
      <c r="B18" s="170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-244637.99819681546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0" customFormat="1" x14ac:dyDescent="0.25">
      <c r="A19" s="170" t="s">
        <v>23</v>
      </c>
      <c r="B19" s="170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-708567.73784604669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-316262.76193725248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2457845.8133246209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3151792.2038981253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26.361074410417228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65.99846913877127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-26712.692779541852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-4538467.9176745266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0" customFormat="1" x14ac:dyDescent="0.25">
      <c r="A27" s="170" t="s">
        <v>23</v>
      </c>
      <c r="B27" s="170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-190993.28940624089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0" customFormat="1" x14ac:dyDescent="0.25">
      <c r="A28" s="170" t="s">
        <v>23</v>
      </c>
      <c r="B28" s="170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-1169819.2388432384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0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0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0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0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0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0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0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0" customFormat="1" x14ac:dyDescent="0.25">
      <c r="A36" s="170" t="s">
        <v>24</v>
      </c>
      <c r="B36" s="170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0" customFormat="1" x14ac:dyDescent="0.25">
      <c r="A37" s="170" t="s">
        <v>24</v>
      </c>
      <c r="B37" s="170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0" t="s">
        <v>24</v>
      </c>
      <c r="B38" s="170">
        <f t="shared" ref="B38:B46" si="31">År2</f>
        <v>2030</v>
      </c>
      <c r="C38" s="98">
        <f>SUMIF('Resultater - Østdanmark'!$F$3:$F$487,'CO2-udledning'!$D$2,'Resultater - Østdanmark'!I$3:I$487)</f>
        <v>1029634.454794431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0" t="s">
        <v>24</v>
      </c>
      <c r="B39" s="170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335875.99126642098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0" t="s">
        <v>24</v>
      </c>
      <c r="B40" s="170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1198152.1265894873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0" t="s">
        <v>24</v>
      </c>
      <c r="B41" s="170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0" t="s">
        <v>24</v>
      </c>
      <c r="B42" s="170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7.1104610596313291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0" t="s">
        <v>24</v>
      </c>
      <c r="B43" s="170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-894.3604980721251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0" t="s">
        <v>24</v>
      </c>
      <c r="B44" s="170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-335436.22053951514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0" customFormat="1" x14ac:dyDescent="0.25">
      <c r="A45" s="170" t="s">
        <v>24</v>
      </c>
      <c r="B45" s="170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-22537.941754853106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0" customFormat="1" x14ac:dyDescent="0.25">
      <c r="A46" s="170" t="s">
        <v>24</v>
      </c>
      <c r="B46" s="170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-257378.92882061991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0" t="s">
        <v>24</v>
      </c>
      <c r="B47" s="170">
        <f t="shared" ref="B47:B55" si="41">År3</f>
        <v>2050</v>
      </c>
      <c r="C47" s="98">
        <f>SUMIF('Resultater - Østdanmark'!$F$3:$F$487,'CO2-udledning'!$D$2,'Resultater - Østdanmark'!J$3:J$487)</f>
        <v>222366.16205241915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0" t="s">
        <v>24</v>
      </c>
      <c r="B48" s="170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221534.85436312674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0" t="s">
        <v>24</v>
      </c>
      <c r="B49" s="170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1136729.8818149928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0" t="s">
        <v>24</v>
      </c>
      <c r="B50" s="170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2.8411999718285963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0" t="s">
        <v>24</v>
      </c>
      <c r="B51" s="170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0" t="s">
        <v>24</v>
      </c>
      <c r="B52" s="170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-6707.7037355409384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0" t="s">
        <v>24</v>
      </c>
      <c r="B53" s="170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-650382.77600314026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0" customFormat="1" x14ac:dyDescent="0.25">
      <c r="A54" s="170" t="s">
        <v>24</v>
      </c>
      <c r="B54" s="170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-16970.618224622624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0" t="s">
        <v>24</v>
      </c>
      <c r="B55" s="170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-461847.42782342772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0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0" t="s">
        <v>49</v>
      </c>
      <c r="C4" s="170" t="s">
        <v>114</v>
      </c>
      <c r="D4" s="170" t="s">
        <v>54</v>
      </c>
      <c r="E4" s="170" t="s">
        <v>51</v>
      </c>
      <c r="F4" s="170" t="s">
        <v>6</v>
      </c>
      <c r="G4" s="170" t="s">
        <v>56</v>
      </c>
      <c r="H4" s="170" t="s">
        <v>12</v>
      </c>
      <c r="I4" s="170" t="s">
        <v>48</v>
      </c>
      <c r="J4" s="170" t="s">
        <v>53</v>
      </c>
      <c r="K4" s="170" t="s">
        <v>55</v>
      </c>
      <c r="L4" s="170" t="s">
        <v>96</v>
      </c>
      <c r="M4" s="170" t="s">
        <v>50</v>
      </c>
      <c r="N4" s="170" t="s">
        <v>52</v>
      </c>
      <c r="O4" s="170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899024.11158253078</v>
      </c>
      <c r="C6" s="98">
        <v>1227194.2671304212</v>
      </c>
      <c r="D6" s="98">
        <v>171306.02022248652</v>
      </c>
      <c r="E6" s="98">
        <v>16922609.342285674</v>
      </c>
      <c r="F6" s="98">
        <v>1841482.8831056242</v>
      </c>
      <c r="G6" s="98">
        <v>784204.49622095283</v>
      </c>
      <c r="H6" s="98">
        <v>2620699.9317345098</v>
      </c>
      <c r="I6" s="98">
        <v>6014732.247022856</v>
      </c>
      <c r="J6" s="98">
        <v>5111199.4174840702</v>
      </c>
      <c r="K6" s="98">
        <v>1721625.1443412229</v>
      </c>
      <c r="L6" s="98">
        <v>161495.51348140143</v>
      </c>
      <c r="M6" s="98">
        <v>809041.93471028551</v>
      </c>
      <c r="N6" s="98">
        <v>826279.56033233157</v>
      </c>
      <c r="O6" s="98">
        <v>39110894.869654365</v>
      </c>
    </row>
    <row r="7" spans="1:15" x14ac:dyDescent="0.25">
      <c r="A7" s="78">
        <v>2050</v>
      </c>
      <c r="B7" s="98">
        <v>697269.63870676316</v>
      </c>
      <c r="C7" s="98">
        <v>922709.36356099392</v>
      </c>
      <c r="D7" s="98">
        <v>135719.62376410339</v>
      </c>
      <c r="E7" s="98">
        <v>10621316.103992656</v>
      </c>
      <c r="F7" s="98">
        <v>1464628.3294215465</v>
      </c>
      <c r="G7" s="98">
        <v>606417.73735835799</v>
      </c>
      <c r="H7" s="98">
        <v>2036799.3759522494</v>
      </c>
      <c r="I7" s="98">
        <v>4767935.7209979538</v>
      </c>
      <c r="J7" s="98">
        <v>3317454.9876013855</v>
      </c>
      <c r="K7" s="98">
        <v>1332184.8020262157</v>
      </c>
      <c r="L7" s="98">
        <v>113754.06087908773</v>
      </c>
      <c r="M7" s="98">
        <v>715248.61467447656</v>
      </c>
      <c r="N7" s="98">
        <v>649454.02227733191</v>
      </c>
      <c r="O7" s="98">
        <v>27380892.381213121</v>
      </c>
    </row>
    <row r="8" spans="1:15" x14ac:dyDescent="0.25">
      <c r="A8" s="78" t="s">
        <v>61</v>
      </c>
      <c r="B8" s="98">
        <v>1881419.8522739727</v>
      </c>
      <c r="C8" s="98">
        <v>3652461.66629963</v>
      </c>
      <c r="D8" s="98">
        <v>348753.53387936146</v>
      </c>
      <c r="E8" s="98">
        <v>45487364.141848512</v>
      </c>
      <c r="F8" s="98">
        <v>3586720.6339801159</v>
      </c>
      <c r="G8" s="98">
        <v>2302196.8760643774</v>
      </c>
      <c r="H8" s="98">
        <v>6919818.1483203266</v>
      </c>
      <c r="I8" s="98">
        <v>19892455.937465228</v>
      </c>
      <c r="J8" s="98">
        <v>16376349.698932197</v>
      </c>
      <c r="K8" s="98">
        <v>5058912.117768215</v>
      </c>
      <c r="L8" s="98">
        <v>485031.96175548917</v>
      </c>
      <c r="M8" s="98">
        <v>2202698.3666631924</v>
      </c>
      <c r="N8" s="98">
        <v>4105156.718596234</v>
      </c>
      <c r="O8" s="98">
        <v>112299339.65384686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6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6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6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6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6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6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6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6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6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6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6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6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6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6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4561269.4761999724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6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679900.90308057657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6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611488.80572798639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6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13033560.764952054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6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1389473.3777842107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6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1991290.2581626636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6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618312.90012796305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6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3911198.5394176375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6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129276.58076711251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6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1306243.4433962547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6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926499.36509059242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6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595525.47886913677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6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124648.5815119847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6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3504131.9697836237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6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512449.0981881597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6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525662.49270451744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6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7806013.0843895487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6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1076409.0953461644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6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1496919.3793012851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6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477307.40969257313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6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2438121.5770907253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6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99745.33232665222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6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979071.82930248126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6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678133.0288987807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6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445678.82311442285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6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83602.19105177233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6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6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6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6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6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6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6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6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6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6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6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6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6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6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1453462.7708228838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6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219123.20850195418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6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197553.12898229909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6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3889048.5773336194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6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452009.50532141351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6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629409.67357184645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6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207966.66020436856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6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1200000.8780664324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6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42029.439455374028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6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415381.70094496832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6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300694.90203982888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6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188679.01735181612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6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36846.931969416735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6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1263803.7512143303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6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184820.54051860346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6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189586.12196995915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6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2815303.0196031071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6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388219.23407538212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6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539879.99665096425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6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172146.61258475881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6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879333.41051066038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6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35974.29143745116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6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353112.97272373439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6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244576.33466221322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6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160738.91424393514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6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30151.8698273154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0" t="s">
        <v>120</v>
      </c>
      <c r="C5" s="170" t="s">
        <v>119</v>
      </c>
      <c r="D5" s="170" t="s">
        <v>61</v>
      </c>
    </row>
    <row r="6" spans="1:4" x14ac:dyDescent="0.25">
      <c r="A6" s="78">
        <v>2019</v>
      </c>
      <c r="B6" s="238">
        <v>3010238.4923246857</v>
      </c>
      <c r="C6" s="238">
        <v>827693.20492220437</v>
      </c>
      <c r="D6" s="238">
        <v>3837931.69724689</v>
      </c>
    </row>
    <row r="7" spans="1:4" x14ac:dyDescent="0.25">
      <c r="A7" s="78">
        <v>2030</v>
      </c>
      <c r="B7" s="238">
        <v>2874812.4442172255</v>
      </c>
      <c r="C7" s="238">
        <v>792049.6289698272</v>
      </c>
      <c r="D7" s="238">
        <v>3666862.0731870527</v>
      </c>
    </row>
    <row r="8" spans="1:4" x14ac:dyDescent="0.25">
      <c r="A8" s="78">
        <v>2050</v>
      </c>
      <c r="B8" s="238">
        <v>2970330.8739142935</v>
      </c>
      <c r="C8" s="238">
        <v>868326.86024586018</v>
      </c>
      <c r="D8" s="238">
        <v>3838657.7341601537</v>
      </c>
    </row>
    <row r="9" spans="1:4" x14ac:dyDescent="0.25">
      <c r="A9" s="78" t="s">
        <v>61</v>
      </c>
      <c r="B9" s="238">
        <v>8855381.8104562052</v>
      </c>
      <c r="C9" s="238">
        <v>2488069.6941378918</v>
      </c>
      <c r="D9" s="238">
        <v>11343451.504594097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0" t="s">
        <v>107</v>
      </c>
      <c r="C5" s="170" t="s">
        <v>100</v>
      </c>
      <c r="D5" s="170" t="s">
        <v>61</v>
      </c>
    </row>
    <row r="6" spans="1:4" x14ac:dyDescent="0.25">
      <c r="A6" s="78">
        <v>2019</v>
      </c>
      <c r="B6" s="238">
        <v>880.09999999999991</v>
      </c>
      <c r="C6" s="238">
        <v>76.5</v>
      </c>
      <c r="D6" s="238">
        <v>956.59999999999991</v>
      </c>
    </row>
    <row r="7" spans="1:4" x14ac:dyDescent="0.25">
      <c r="A7" s="78">
        <v>2030</v>
      </c>
      <c r="B7" s="238">
        <v>27045.758448627814</v>
      </c>
      <c r="C7" s="238">
        <v>1800</v>
      </c>
      <c r="D7" s="238">
        <v>28845.758448627814</v>
      </c>
    </row>
    <row r="8" spans="1:4" x14ac:dyDescent="0.25">
      <c r="A8" s="78">
        <v>2050</v>
      </c>
      <c r="B8" s="238">
        <v>202843.18836470862</v>
      </c>
      <c r="C8" s="238">
        <v>13500</v>
      </c>
      <c r="D8" s="238">
        <v>216343.18836470862</v>
      </c>
    </row>
    <row r="9" spans="1:4" x14ac:dyDescent="0.25">
      <c r="A9" s="78" t="s">
        <v>61</v>
      </c>
      <c r="B9" s="238">
        <v>230769.04681333643</v>
      </c>
      <c r="C9" s="238">
        <v>15376.5</v>
      </c>
      <c r="D9" s="238">
        <v>246145.54681333643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0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0" t="s">
        <v>11</v>
      </c>
      <c r="C4" s="170" t="s">
        <v>32</v>
      </c>
      <c r="D4" s="170" t="s">
        <v>9</v>
      </c>
      <c r="E4" s="170" t="s">
        <v>33</v>
      </c>
      <c r="F4" s="170" t="s">
        <v>10</v>
      </c>
      <c r="G4" s="170" t="s">
        <v>61</v>
      </c>
    </row>
    <row r="5" spans="1:7" x14ac:dyDescent="0.25">
      <c r="A5" s="78">
        <v>2019</v>
      </c>
      <c r="B5" s="238">
        <v>65860</v>
      </c>
      <c r="C5" s="238">
        <v>591230</v>
      </c>
      <c r="D5" s="238">
        <v>2578370</v>
      </c>
      <c r="E5" s="238">
        <v>472920</v>
      </c>
      <c r="F5" s="238">
        <v>561900</v>
      </c>
      <c r="G5" s="238">
        <v>4270280</v>
      </c>
    </row>
    <row r="6" spans="1:7" x14ac:dyDescent="0.25">
      <c r="A6" s="78">
        <v>2030</v>
      </c>
      <c r="B6" s="238">
        <v>65860</v>
      </c>
      <c r="C6" s="238">
        <v>591230</v>
      </c>
      <c r="D6" s="238">
        <v>2228369.9999999995</v>
      </c>
      <c r="E6" s="238">
        <v>572920</v>
      </c>
      <c r="F6" s="238">
        <v>811900</v>
      </c>
      <c r="G6" s="238">
        <v>4270280</v>
      </c>
    </row>
    <row r="7" spans="1:7" x14ac:dyDescent="0.25">
      <c r="A7" s="78">
        <v>2050</v>
      </c>
      <c r="B7" s="238">
        <v>65860</v>
      </c>
      <c r="C7" s="238">
        <v>591230</v>
      </c>
      <c r="D7" s="238">
        <v>1899640</v>
      </c>
      <c r="E7" s="238">
        <v>651650.00000000012</v>
      </c>
      <c r="F7" s="238">
        <v>1061900</v>
      </c>
      <c r="G7" s="238">
        <v>4270280</v>
      </c>
    </row>
    <row r="8" spans="1:7" x14ac:dyDescent="0.25">
      <c r="A8" s="78" t="s">
        <v>61</v>
      </c>
      <c r="B8" s="238">
        <v>197580</v>
      </c>
      <c r="C8" s="238">
        <v>1773690</v>
      </c>
      <c r="D8" s="238">
        <v>6706380</v>
      </c>
      <c r="E8" s="238">
        <v>1697490</v>
      </c>
      <c r="F8" s="238">
        <v>2435700</v>
      </c>
      <c r="G8" s="238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0" t="s">
        <v>81</v>
      </c>
    </row>
    <row r="2" spans="1:16" x14ac:dyDescent="0.25">
      <c r="A2" s="77" t="s">
        <v>64</v>
      </c>
      <c r="B2" s="170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0" t="s">
        <v>49</v>
      </c>
      <c r="C5" s="170" t="s">
        <v>54</v>
      </c>
      <c r="D5" s="170" t="s">
        <v>51</v>
      </c>
      <c r="E5" s="170" t="s">
        <v>6</v>
      </c>
      <c r="F5" s="170" t="s">
        <v>56</v>
      </c>
      <c r="G5" s="170" t="s">
        <v>12</v>
      </c>
      <c r="H5" s="170" t="s">
        <v>48</v>
      </c>
      <c r="I5" s="170" t="s">
        <v>53</v>
      </c>
      <c r="J5" s="170" t="s">
        <v>55</v>
      </c>
      <c r="K5" s="170" t="s">
        <v>50</v>
      </c>
      <c r="L5" s="170" t="s">
        <v>52</v>
      </c>
      <c r="M5" s="170" t="s">
        <v>38</v>
      </c>
      <c r="N5" s="170" t="s">
        <v>96</v>
      </c>
      <c r="O5" s="170" t="s">
        <v>114</v>
      </c>
      <c r="P5" s="170" t="s">
        <v>61</v>
      </c>
    </row>
    <row r="6" spans="1:16" x14ac:dyDescent="0.25">
      <c r="A6" s="78">
        <v>2019</v>
      </c>
      <c r="B6" s="238">
        <v>76853.212866422313</v>
      </c>
      <c r="C6" s="238">
        <v>5114.7808931059071</v>
      </c>
      <c r="D6" s="238">
        <v>288931.41565564787</v>
      </c>
      <c r="E6" s="238">
        <v>12752.078568827996</v>
      </c>
      <c r="F6" s="238">
        <v>18942.69646674622</v>
      </c>
      <c r="G6" s="238">
        <v>55075.520801981496</v>
      </c>
      <c r="H6" s="238">
        <v>1337821.3326830014</v>
      </c>
      <c r="I6" s="238">
        <v>180140.67588310441</v>
      </c>
      <c r="J6" s="238">
        <v>69938.636069140397</v>
      </c>
      <c r="K6" s="238">
        <v>161431.62233269325</v>
      </c>
      <c r="L6" s="238">
        <v>33966.356863719026</v>
      </c>
      <c r="M6" s="238">
        <v>221005.01507630604</v>
      </c>
      <c r="N6" s="238">
        <v>8579.6273865744097</v>
      </c>
      <c r="O6" s="238">
        <v>107817.02845272887</v>
      </c>
      <c r="P6" s="238">
        <v>2578370</v>
      </c>
    </row>
    <row r="7" spans="1:16" x14ac:dyDescent="0.25">
      <c r="A7" s="78">
        <v>2030</v>
      </c>
      <c r="B7" s="238">
        <v>249070.41145368532</v>
      </c>
      <c r="C7" s="238">
        <v>21590.944766009092</v>
      </c>
      <c r="D7" s="238">
        <v>298013.90675097884</v>
      </c>
      <c r="E7" s="238">
        <v>86085.718291457</v>
      </c>
      <c r="F7" s="238">
        <v>16716.162692950904</v>
      </c>
      <c r="G7" s="238">
        <v>65820.275689989779</v>
      </c>
      <c r="H7" s="238">
        <v>883591.45920908637</v>
      </c>
      <c r="I7" s="238">
        <v>111977.52639575012</v>
      </c>
      <c r="J7" s="238">
        <v>61589.234291461857</v>
      </c>
      <c r="K7" s="238">
        <v>197847.00478896062</v>
      </c>
      <c r="L7" s="238">
        <v>10867.259065585898</v>
      </c>
      <c r="M7" s="238">
        <v>126838.32883501997</v>
      </c>
      <c r="N7" s="238">
        <v>6954.7525926161197</v>
      </c>
      <c r="O7" s="238">
        <v>91124.170336585899</v>
      </c>
      <c r="P7" s="238">
        <v>2228087.1551601379</v>
      </c>
    </row>
    <row r="8" spans="1:16" x14ac:dyDescent="0.25">
      <c r="A8" s="78">
        <v>2050</v>
      </c>
      <c r="B8" s="238">
        <v>214658.93601995503</v>
      </c>
      <c r="C8" s="238">
        <v>18996.364198504853</v>
      </c>
      <c r="D8" s="238">
        <v>170968.3359175018</v>
      </c>
      <c r="E8" s="238">
        <v>75985.443395327253</v>
      </c>
      <c r="F8" s="238">
        <v>14412.432783722899</v>
      </c>
      <c r="G8" s="238">
        <v>56989.151034252507</v>
      </c>
      <c r="H8" s="238">
        <v>759855.39892948361</v>
      </c>
      <c r="I8" s="238">
        <v>75985.604105956139</v>
      </c>
      <c r="J8" s="238">
        <v>53130.357652113154</v>
      </c>
      <c r="K8" s="238">
        <v>195662.59492287465</v>
      </c>
      <c r="L8" s="238">
        <v>9498.1844828219218</v>
      </c>
      <c r="M8" s="238">
        <v>170968.41017995734</v>
      </c>
      <c r="N8" s="238">
        <v>5542.2418506135282</v>
      </c>
      <c r="O8" s="238">
        <v>76736.594191037104</v>
      </c>
      <c r="P8" s="238">
        <v>1899390.0496641218</v>
      </c>
    </row>
    <row r="9" spans="1:16" x14ac:dyDescent="0.25">
      <c r="A9" s="78" t="s">
        <v>61</v>
      </c>
      <c r="B9" s="238">
        <v>540582.56034006272</v>
      </c>
      <c r="C9" s="238">
        <v>45702.089857619852</v>
      </c>
      <c r="D9" s="238">
        <v>757913.6583241286</v>
      </c>
      <c r="E9" s="238">
        <v>174823.24025561224</v>
      </c>
      <c r="F9" s="238">
        <v>50071.291943420023</v>
      </c>
      <c r="G9" s="238">
        <v>177884.94752622378</v>
      </c>
      <c r="H9" s="238">
        <v>2981268.1908215717</v>
      </c>
      <c r="I9" s="238">
        <v>368103.80638481071</v>
      </c>
      <c r="J9" s="238">
        <v>184658.22801271541</v>
      </c>
      <c r="K9" s="238">
        <v>554941.22204452846</v>
      </c>
      <c r="L9" s="238">
        <v>54331.800412126846</v>
      </c>
      <c r="M9" s="238">
        <v>518811.75409128336</v>
      </c>
      <c r="N9" s="238">
        <v>21076.621829804059</v>
      </c>
      <c r="O9" s="238">
        <v>275677.79298035189</v>
      </c>
      <c r="P9" s="238">
        <v>6705847.2048242604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1396112.1839026022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886023.41392754577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503523.81609739771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175876.58607245423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0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0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0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0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0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0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0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0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0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0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5639782.5749999993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0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0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0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731043.6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0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0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0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14892033.799999999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0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0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0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2685610.75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0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0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0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348116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0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10637167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0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0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0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0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0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0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0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0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0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0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0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0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2417049.6749999998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0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0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0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313304.39999999997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0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454100.88944258494</v>
      </c>
      <c r="H16" s="170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3183247.2349925204</v>
      </c>
      <c r="I16" s="170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1405005.7483448237</v>
      </c>
      <c r="J16" s="76">
        <f t="shared" si="2"/>
        <v>1405005.7483448237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6382300.2000000002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0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130554.00571474319</v>
      </c>
      <c r="H17" s="170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503938.46205890877</v>
      </c>
      <c r="I17" s="170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202310.07749072323</v>
      </c>
      <c r="J17" s="76">
        <f t="shared" si="2"/>
        <v>202310.07749072323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2685610.75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0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103307.95234818808</v>
      </c>
      <c r="H18" s="170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454554.99033202755</v>
      </c>
      <c r="I18" s="170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328302.34176730691</v>
      </c>
      <c r="J18" s="76">
        <f t="shared" si="2"/>
        <v>328302.34176730691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348116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0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147582.78906884012</v>
      </c>
      <c r="H19" s="170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7323057.9935958479</v>
      </c>
      <c r="I19" s="170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7323057.9935958479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10637167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0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45410.088944258496</v>
      </c>
      <c r="H20" s="17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942259.34559336386</v>
      </c>
      <c r="I20" s="17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942259.34559336386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0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34057.566708193874</v>
      </c>
      <c r="H21" s="170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1446455.4918871548</v>
      </c>
      <c r="I21" s="170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1446455.4918871548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0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5676.261118032312</v>
      </c>
      <c r="H22" s="170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461217.3959189239</v>
      </c>
      <c r="I22" s="170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461217.3959189239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0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56762.611180323118</v>
      </c>
      <c r="H23" s="170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2526503.8236361821</v>
      </c>
      <c r="I23" s="170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2526503.8236361821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1440452.0912581175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0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11352.522236064624</v>
      </c>
      <c r="H24" s="170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96382.91378418867</v>
      </c>
      <c r="I24" s="170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96382.91378418867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66035.212612548363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0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31751.49505701059</v>
      </c>
      <c r="H25" s="170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946065.75301914429</v>
      </c>
      <c r="I25" s="170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946065.75301914429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1331734.9319802935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0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45858.862448153115</v>
      </c>
      <c r="H26" s="170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655270.90011043288</v>
      </c>
      <c r="I26" s="170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147206.94845857151</v>
      </c>
      <c r="J26" s="76">
        <f t="shared" si="2"/>
        <v>147206.94845857151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1363054.1520968622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0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8613.084800025772</v>
      </c>
      <c r="H27" s="170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430654.24000128865</v>
      </c>
      <c r="I27" s="170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430654.24000128865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44080.021020913933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0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3312.1091245534226</v>
      </c>
      <c r="H28" s="170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80783.149379351773</v>
      </c>
      <c r="I28" s="170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80783.149379351773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1029193.5533004892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0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56762.611180323118</v>
      </c>
      <c r="H29" s="170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782756.40817665588</v>
      </c>
      <c r="I29" s="170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782756.40817665588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0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279222.43678052042</v>
      </c>
      <c r="H30" s="17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1957349.2818314482</v>
      </c>
      <c r="I30" s="17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1065776.6839572235</v>
      </c>
      <c r="J30" s="76">
        <f t="shared" si="2"/>
        <v>1065776.6839572235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0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78880.338390497025</v>
      </c>
      <c r="H31" s="170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304478.10618731857</v>
      </c>
      <c r="I31" s="170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150794.75409772928</v>
      </c>
      <c r="J31" s="76">
        <f t="shared" si="2"/>
        <v>150794.75409772928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0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71899.777470984001</v>
      </c>
      <c r="H32" s="170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316359.02087232959</v>
      </c>
      <c r="I32" s="170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281875.88759724575</v>
      </c>
      <c r="J32" s="76">
        <f t="shared" si="2"/>
        <v>281875.88759724575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116096.90874188265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0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62825.048275617097</v>
      </c>
      <c r="H33" s="170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3117378.8954361207</v>
      </c>
      <c r="I33" s="170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3117378.8954361207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32932.787387451637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0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27922.243678052044</v>
      </c>
      <c r="H34" s="170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579386.55631957995</v>
      </c>
      <c r="I34" s="170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579386.55631957995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453812.06801970646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0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20941.682758539031</v>
      </c>
      <c r="H35" s="170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889412.10318937991</v>
      </c>
      <c r="I35" s="170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889412.10318937991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193494.84790313776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0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3490.2804597565055</v>
      </c>
      <c r="H36" s="170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283598.31078976736</v>
      </c>
      <c r="I36" s="170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283598.31078976736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54887.978979086067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0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27922.243678052044</v>
      </c>
      <c r="H37" s="170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1242819.0661100966</v>
      </c>
      <c r="I37" s="170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1242819.0661100966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756353.44669951079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0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6980.560919513011</v>
      </c>
      <c r="H38" s="170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59264.962206665463</v>
      </c>
      <c r="I38" s="170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59264.962206665463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0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19523.70062988855</v>
      </c>
      <c r="H39" s="170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581727.08103890053</v>
      </c>
      <c r="I39" s="170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581727.08103890053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0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28198.190354733964</v>
      </c>
      <c r="H40" s="17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402920.01564849104</v>
      </c>
      <c r="I40" s="17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111664.83380474654</v>
      </c>
      <c r="J40" s="76">
        <f t="shared" si="2"/>
        <v>111664.83380474654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0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5296.1061781063381</v>
      </c>
      <c r="H41" s="170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264805.30890531692</v>
      </c>
      <c r="I41" s="170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264805.30890531692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0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2036.585265833824</v>
      </c>
      <c r="H42" s="170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49672.811361800588</v>
      </c>
      <c r="I42" s="170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49672.811361800588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0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62825.048275617097</v>
      </c>
      <c r="H43" s="170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866357.41572075989</v>
      </c>
      <c r="I43" s="170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866357.41572075989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0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0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0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0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0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0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0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0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0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0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0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0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0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0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0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0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0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0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0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0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0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0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0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0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0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0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0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0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0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0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0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0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0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0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0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0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0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0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0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0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0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194614.666903965</v>
      </c>
      <c r="H58" s="170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914046.70604785252</v>
      </c>
      <c r="I58" s="170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403437.36488187092</v>
      </c>
      <c r="J58" s="76">
        <f t="shared" si="2"/>
        <v>403437.36488187092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0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55951.716734889946</v>
      </c>
      <c r="H59" s="170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123104.96716010488</v>
      </c>
      <c r="I59" s="170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49421.461787019522</v>
      </c>
      <c r="J59" s="76">
        <f t="shared" si="2"/>
        <v>49421.461787019522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0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44274.836720652034</v>
      </c>
      <c r="H60" s="17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107145.10486397793</v>
      </c>
      <c r="I60" s="17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77385.551988008068</v>
      </c>
      <c r="J60" s="76">
        <f t="shared" si="2"/>
        <v>77385.551988008068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0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63249.766743788627</v>
      </c>
      <c r="H61" s="170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2447993.6721448977</v>
      </c>
      <c r="I61" s="170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2447993.6721448977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0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19461.466690396501</v>
      </c>
      <c r="H62" s="170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230180.49728066463</v>
      </c>
      <c r="I62" s="170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230180.49728066463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0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14596.100017797375</v>
      </c>
      <c r="H63" s="170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353348.41301814775</v>
      </c>
      <c r="I63" s="170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353348.41301814775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0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2432.6833362995626</v>
      </c>
      <c r="H64" s="170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112668.82100305143</v>
      </c>
      <c r="I64" s="170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112668.82100305143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0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24326.833362995625</v>
      </c>
      <c r="H65" s="170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898713.50297915644</v>
      </c>
      <c r="I65" s="170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898713.50297915644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0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4865.3666725991252</v>
      </c>
      <c r="H66" s="170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23544.968938708946</v>
      </c>
      <c r="I66" s="170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23544.968938708946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0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13607.783595861683</v>
      </c>
      <c r="H67" s="170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231110.34823753382</v>
      </c>
      <c r="I67" s="170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231110.34823753382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0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19653.79819206562</v>
      </c>
      <c r="H68" s="170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160073.31988412002</v>
      </c>
      <c r="I68" s="170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35960.55455202247</v>
      </c>
      <c r="J68" s="76">
        <f t="shared" si="2"/>
        <v>35960.55455202247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0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3691.3220571539027</v>
      </c>
      <c r="H69" s="170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105202.67862888623</v>
      </c>
      <c r="I69" s="170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105202.67862888623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1419.475339094324</v>
      </c>
      <c r="H70" s="1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19734.169348384505</v>
      </c>
      <c r="I70" s="1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19734.169348384505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0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24326.833362995625</v>
      </c>
      <c r="H71" s="170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335467.03207570966</v>
      </c>
      <c r="I71" s="170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335467.03207570966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0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279222.43678052042</v>
      </c>
      <c r="H72" s="170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1311424.0188270705</v>
      </c>
      <c r="I72" s="170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714070.37825133977</v>
      </c>
      <c r="J72" s="76">
        <f t="shared" ref="J72:J139" si="15">IF(I72&lt;&gt;0,I72,H72)</f>
        <v>714070.37825133977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0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78880.338390497025</v>
      </c>
      <c r="H73" s="170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173552.52052677155</v>
      </c>
      <c r="I73" s="170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85953.009835705685</v>
      </c>
      <c r="J73" s="76">
        <f t="shared" si="15"/>
        <v>85953.009835705685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0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71899.777470984001</v>
      </c>
      <c r="H74" s="170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173997.46147978131</v>
      </c>
      <c r="I74" s="170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155031.73817848516</v>
      </c>
      <c r="J74" s="76">
        <f t="shared" si="15"/>
        <v>155031.73817848516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0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62825.048275617097</v>
      </c>
      <c r="H75" s="170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2431555.538440174</v>
      </c>
      <c r="I75" s="170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2431555.538440174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0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27922.243678052044</v>
      </c>
      <c r="H76" s="170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330250.33710216056</v>
      </c>
      <c r="I76" s="170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330250.33710216056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0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20941.682758539031</v>
      </c>
      <c r="H77" s="170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506964.89881794649</v>
      </c>
      <c r="I77" s="170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506964.89881794649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0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3490.2804597565055</v>
      </c>
      <c r="H78" s="170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161651.03715016739</v>
      </c>
      <c r="I78" s="170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161651.03715016739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0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27922.243678052044</v>
      </c>
      <c r="H79" s="170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1031539.8248713801</v>
      </c>
      <c r="I79" s="170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1031539.8248713801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0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6980.560919513011</v>
      </c>
      <c r="H80" s="17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33781.028457799308</v>
      </c>
      <c r="I80" s="17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33781.028457799308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0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19523.70062988855</v>
      </c>
      <c r="H81" s="170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331584.43619217328</v>
      </c>
      <c r="I81" s="170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331584.43619217328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0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28198.190354733964</v>
      </c>
      <c r="H82" s="170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229664.40891963989</v>
      </c>
      <c r="I82" s="170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63648.955268705526</v>
      </c>
      <c r="J82" s="76">
        <f t="shared" si="15"/>
        <v>63648.955268705526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0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5296.1061781063381</v>
      </c>
      <c r="H83" s="170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150939.02607603063</v>
      </c>
      <c r="I83" s="170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150939.02607603063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0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2036.585265833824</v>
      </c>
      <c r="H84" s="170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28313.502476226335</v>
      </c>
      <c r="I84" s="170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28313.502476226335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0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62825.048275617097</v>
      </c>
      <c r="H85" s="170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866357.41572075989</v>
      </c>
      <c r="I85" s="170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866357.41572075989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0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0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0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0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0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0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0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0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0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0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0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0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0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0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0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0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0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0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0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0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0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0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0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0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0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0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0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0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0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0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0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0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0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0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0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0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0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0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0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0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0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14557.319038853899</v>
      </c>
      <c r="H100" s="17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122456.167754839</v>
      </c>
      <c r="I100" s="17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54049.091042792068</v>
      </c>
      <c r="J100" s="76">
        <f t="shared" si="15"/>
        <v>54049.091042792068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0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1247.9145723844704</v>
      </c>
      <c r="H101" s="170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5780.3402992848669</v>
      </c>
      <c r="I101" s="170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2320.5632868212592</v>
      </c>
      <c r="J101" s="76">
        <f t="shared" si="15"/>
        <v>2320.5632868212592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0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1336.2457077623992</v>
      </c>
      <c r="H102" s="170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7055.377336985468</v>
      </c>
      <c r="I102" s="170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5095.7462816377556</v>
      </c>
      <c r="J102" s="76">
        <f t="shared" si="15"/>
        <v>5095.7462816377556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0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12331.347057352174</v>
      </c>
      <c r="H103" s="170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734257.72918297781</v>
      </c>
      <c r="I103" s="170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734257.72918297781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0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57.67417401848089</v>
      </c>
      <c r="H104" s="170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1436.0869330601743</v>
      </c>
      <c r="I104" s="170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1436.0869330601743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0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910.52572173905708</v>
      </c>
      <c r="H105" s="170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46405.015672377209</v>
      </c>
      <c r="I105" s="170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46405.015672377209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0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23.887933150205988</v>
      </c>
      <c r="H106" s="170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2329.180443039786</v>
      </c>
      <c r="I106" s="170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2329.180443039786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0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3083.5731934985547</v>
      </c>
      <c r="H107" s="170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164699.81141114482</v>
      </c>
      <c r="I107" s="170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164699.81141114482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0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52.531320160301121</v>
      </c>
      <c r="H108" s="170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535.1890897931479</v>
      </c>
      <c r="I108" s="170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535.1890897931479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0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929.06374843043989</v>
      </c>
      <c r="H109" s="170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33218.797156484638</v>
      </c>
      <c r="I109" s="170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33218.797156484638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0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2293.2033112517015</v>
      </c>
      <c r="H110" s="17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39320.715369222467</v>
      </c>
      <c r="I110" s="17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8833.4191549415555</v>
      </c>
      <c r="J110" s="76">
        <f t="shared" si="15"/>
        <v>8833.4191549415555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0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263.47314981954139</v>
      </c>
      <c r="H111" s="170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15808.388989172483</v>
      </c>
      <c r="I111" s="170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15808.388989172483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0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432.72006555120379</v>
      </c>
      <c r="H112" s="170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12664.977528327916</v>
      </c>
      <c r="I112" s="170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12664.977528327916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0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12230.860785508497</v>
      </c>
      <c r="H113" s="170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202396.28427859463</v>
      </c>
      <c r="I113" s="170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202396.28427859463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0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0.26413872447585557</v>
      </c>
      <c r="H114" s="170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2.2219349502908972</v>
      </c>
      <c r="I114" s="170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1.2098435804333936</v>
      </c>
      <c r="J114" s="76">
        <f t="shared" si="15"/>
        <v>1.2098435804333936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0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2.2643081636439695E-2</v>
      </c>
      <c r="H115" s="170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0.10488275413998867</v>
      </c>
      <c r="I115" s="170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5.1943863280278495E-2</v>
      </c>
      <c r="J115" s="76">
        <f t="shared" si="15"/>
        <v>5.1943863280278495E-2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0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2.42458268512665E-2</v>
      </c>
      <c r="H116" s="170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0.1280179657746871</v>
      </c>
      <c r="I116" s="170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0.11406400750524624</v>
      </c>
      <c r="J116" s="76">
        <f t="shared" si="15"/>
        <v>0.11406400750524624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0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0.22374904844117072</v>
      </c>
      <c r="H117" s="170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13.322913340381067</v>
      </c>
      <c r="I117" s="170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13.322913340381067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0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1.0464827156552753E-3</v>
      </c>
      <c r="H118" s="170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2.6057419619816353E-2</v>
      </c>
      <c r="I118" s="170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2.6057419619816353E-2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0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1.6521249695819491E-2</v>
      </c>
      <c r="H119" s="170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0.84200680195773359</v>
      </c>
      <c r="I119" s="170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0.84200680195773359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0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4.334402629920434E-4</v>
      </c>
      <c r="H120" s="17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4.2262366419021209E-2</v>
      </c>
      <c r="I120" s="17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4.2262366419021209E-2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0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5.5950624423683287E-2</v>
      </c>
      <c r="H121" s="170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2.9884347517177718</v>
      </c>
      <c r="I121" s="170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2.9884347517177718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0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9.5316698529038766E-4</v>
      </c>
      <c r="H122" s="170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9.7108652461384698E-3</v>
      </c>
      <c r="I122" s="170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9.7108652461384698E-3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0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1.685761731347574E-2</v>
      </c>
      <c r="H123" s="170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0.60274633578593584</v>
      </c>
      <c r="I123" s="170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0.60274633578593584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0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4.1609570826959194E-2</v>
      </c>
      <c r="H124" s="170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0.71346403657045177</v>
      </c>
      <c r="I124" s="170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0.19772868056971013</v>
      </c>
      <c r="J124" s="76">
        <f t="shared" si="15"/>
        <v>0.19772868056971013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0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4.7806509935808044E-3</v>
      </c>
      <c r="H125" s="170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0.28683905961484829</v>
      </c>
      <c r="I125" s="170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0.28683905961484829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0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7.8515917570219224E-3</v>
      </c>
      <c r="H126" s="170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0.22980268557137334</v>
      </c>
      <c r="I126" s="170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0.22980268557137334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0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0.22192575147273302</v>
      </c>
      <c r="H127" s="170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3.6724273353707866</v>
      </c>
      <c r="I127" s="170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3.6724273353707866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0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0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0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0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0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0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0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0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0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0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0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0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0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0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0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0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0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0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0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0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0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0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0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0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0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0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0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0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0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0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0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0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0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0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0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0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0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0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6238.8510166516717</v>
      </c>
      <c r="H142" s="170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35162.413883889487</v>
      </c>
      <c r="I142" s="170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15519.810428001727</v>
      </c>
      <c r="J142" s="76">
        <f t="shared" si="29"/>
        <v>15519.810428001727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0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534.82053102191583</v>
      </c>
      <c r="H143" s="170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1412.054558825303</v>
      </c>
      <c r="I143" s="170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566.88046006633601</v>
      </c>
      <c r="J143" s="76">
        <f t="shared" si="29"/>
        <v>566.88046006633601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0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572.67673189817094</v>
      </c>
      <c r="H144" s="170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1663.0532294322886</v>
      </c>
      <c r="I144" s="170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1201.1401949574704</v>
      </c>
      <c r="J144" s="76">
        <f t="shared" si="29"/>
        <v>1201.1401949574704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0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5284.8630245795039</v>
      </c>
      <c r="H145" s="170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245451.86946973833</v>
      </c>
      <c r="I145" s="170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245451.86946973833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0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24.717503150777528</v>
      </c>
      <c r="H146" s="170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350.81552221898539</v>
      </c>
      <c r="I146" s="170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350.81552221898539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0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390.22530931673873</v>
      </c>
      <c r="H147" s="170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11336.082399966434</v>
      </c>
      <c r="I147" s="170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11336.082399966434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0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10.237685635802565</v>
      </c>
      <c r="H148" s="170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568.98550822829043</v>
      </c>
      <c r="I148" s="170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568.98550822829043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0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1321.5313686422378</v>
      </c>
      <c r="H149" s="170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58586.075773392935</v>
      </c>
      <c r="I149" s="170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58586.075773392935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0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22.51342292584334</v>
      </c>
      <c r="H150" s="17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130.73904907804038</v>
      </c>
      <c r="I150" s="17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130.73904907804038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0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398.1701778987599</v>
      </c>
      <c r="H151" s="170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8114.8775910841032</v>
      </c>
      <c r="I151" s="170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8114.8775910841032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0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982.80141910787222</v>
      </c>
      <c r="H152" s="170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9605.4890401957746</v>
      </c>
      <c r="I152" s="170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2157.8781078500083</v>
      </c>
      <c r="J152" s="76">
        <f t="shared" si="29"/>
        <v>2157.8781078500083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0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112.9170642083749</v>
      </c>
      <c r="H153" s="170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3861.7635959264212</v>
      </c>
      <c r="I153" s="170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3861.7635959264212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0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185.45145666480164</v>
      </c>
      <c r="H154" s="170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3093.8730819201055</v>
      </c>
      <c r="I154" s="170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3093.8730819201055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0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5241.7974795036425</v>
      </c>
      <c r="H155" s="170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86741.264690826283</v>
      </c>
      <c r="I155" s="170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86741.264690826283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0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0.26413872447585557</v>
      </c>
      <c r="H156" s="170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1.488696416694901</v>
      </c>
      <c r="I156" s="170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0.81059519889037368</v>
      </c>
      <c r="J156" s="76">
        <f t="shared" si="29"/>
        <v>0.81059519889037368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0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2.2643081636439695E-2</v>
      </c>
      <c r="H157" s="170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5.9783169859793532E-2</v>
      </c>
      <c r="I157" s="170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2.9608002069758735E-2</v>
      </c>
      <c r="J157" s="76">
        <f t="shared" si="29"/>
        <v>2.9608002069758735E-2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0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2.42458268512665E-2</v>
      </c>
      <c r="H158" s="170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7.040988117607791E-2</v>
      </c>
      <c r="I158" s="170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6.2735204127885441E-2</v>
      </c>
      <c r="J158" s="76">
        <f t="shared" si="29"/>
        <v>6.2735204127885441E-2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0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0.22374904844117072</v>
      </c>
      <c r="H159" s="170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10.391872405497233</v>
      </c>
      <c r="I159" s="170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10.391872405497233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0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1.0464827156552753E-3</v>
      </c>
      <c r="H160" s="17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1.4852729183295322E-2</v>
      </c>
      <c r="I160" s="17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1.4852729183295322E-2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0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1.6521249695819491E-2</v>
      </c>
      <c r="H161" s="170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0.47994387711590814</v>
      </c>
      <c r="I161" s="170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0.47994387711590814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0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4.334402629920434E-4</v>
      </c>
      <c r="H162" s="170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2.4089548858842087E-2</v>
      </c>
      <c r="I162" s="170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2.4089548858842087E-2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0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5.5950624423683287E-2</v>
      </c>
      <c r="H163" s="170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2.4804008439257506</v>
      </c>
      <c r="I163" s="170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2.4804008439257506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0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9.5316698529038766E-4</v>
      </c>
      <c r="H164" s="170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5.5351931902989275E-3</v>
      </c>
      <c r="I164" s="170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5.5351931902989275E-3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0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1.685761731347574E-2</v>
      </c>
      <c r="H165" s="170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0.34356541139798341</v>
      </c>
      <c r="I165" s="170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0.34356541139798341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0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4.1609570826959194E-2</v>
      </c>
      <c r="H166" s="170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0.40667450084515749</v>
      </c>
      <c r="I166" s="170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0.11270534792473477</v>
      </c>
      <c r="J166" s="76">
        <f t="shared" si="29"/>
        <v>0.11270534792473477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0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4.7806509935808044E-3</v>
      </c>
      <c r="H167" s="170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0.16349826398046352</v>
      </c>
      <c r="I167" s="170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0.16349826398046352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0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7.8515917570219224E-3</v>
      </c>
      <c r="H168" s="170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0.13098753077568279</v>
      </c>
      <c r="I168" s="170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0.13098753077568279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0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0.22192575147273302</v>
      </c>
      <c r="H169" s="170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3.6724273353707866</v>
      </c>
      <c r="I169" s="170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3.6724273353707866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0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0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0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0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0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0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0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0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0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0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0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0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0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0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0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0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0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0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0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0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0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0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0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0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0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0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0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0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0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0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0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0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0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0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0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0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0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0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0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0.24014192427030884</v>
      </c>
      <c r="H184" s="170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2.3567528447888106</v>
      </c>
      <c r="I184" s="170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1.0402117868686616</v>
      </c>
      <c r="J184" s="76">
        <f t="shared" si="29"/>
        <v>1.0402117868686616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0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1.3827185240981857E-2</v>
      </c>
      <c r="H185" s="170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7.4722109042265963E-2</v>
      </c>
      <c r="I185" s="170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2.9997781095827455E-2</v>
      </c>
      <c r="J185" s="76">
        <f t="shared" si="29"/>
        <v>2.9997781095827455E-2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0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1.7905578760527514E-2</v>
      </c>
      <c r="H186" s="170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0.11029836516484948</v>
      </c>
      <c r="I186" s="170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7.9662994240312548E-2</v>
      </c>
      <c r="J186" s="76">
        <f t="shared" si="29"/>
        <v>7.9662994240312548E-2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0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0.41295916925078141</v>
      </c>
      <c r="H187" s="170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28.687447569513285</v>
      </c>
      <c r="I187" s="170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28.687447569513285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0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4.7998760752444386E-4</v>
      </c>
      <c r="H188" s="170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1.3943639998585096E-2</v>
      </c>
      <c r="I188" s="170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1.3943639998585096E-2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0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2.5405884819884754E-2</v>
      </c>
      <c r="H189" s="170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1.5106150922164066</v>
      </c>
      <c r="I189" s="170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1.5106150922164066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0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2.7474083124338298E-4</v>
      </c>
      <c r="H190" s="17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3.1253204767232354E-2</v>
      </c>
      <c r="I190" s="17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3.1253204767232354E-2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0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3.4166711964234063E-2</v>
      </c>
      <c r="H191" s="170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2.1290644893392812</v>
      </c>
      <c r="I191" s="170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2.1290644893392812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0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9.7911413909652196E-4</v>
      </c>
      <c r="H192" s="170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1.1637750657301259E-2</v>
      </c>
      <c r="I192" s="170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1.1637750657301259E-2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0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1.7316516117135472E-2</v>
      </c>
      <c r="H193" s="170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0.7223467103786726</v>
      </c>
      <c r="I193" s="170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0.7223467103786726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0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5.5095364744618444E-2</v>
      </c>
      <c r="H194" s="170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1.1021499934611174</v>
      </c>
      <c r="I194" s="170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0.24759856916231532</v>
      </c>
      <c r="J194" s="76">
        <f t="shared" si="29"/>
        <v>0.24759856916231532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0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4.9107900862457683E-3</v>
      </c>
      <c r="H195" s="170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0.34375530603720378</v>
      </c>
      <c r="I195" s="170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0.34375530603720378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0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1.1592037098283917E-2</v>
      </c>
      <c r="H196" s="170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0.39582565701457278</v>
      </c>
      <c r="I196" s="170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0.39582565701457278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0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0.42873455406185462</v>
      </c>
      <c r="H197" s="170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8.2771493007181665</v>
      </c>
      <c r="I197" s="170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8.2771493007181665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0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0.17152994590736345</v>
      </c>
      <c r="H198" s="170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1.6833948891348649</v>
      </c>
      <c r="I198" s="170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0.91660851713393399</v>
      </c>
      <c r="J198" s="76">
        <f t="shared" si="29"/>
        <v>0.91660851713393399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0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9.8765608864156123E-3</v>
      </c>
      <c r="H199" s="170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5.3372935030189965E-2</v>
      </c>
      <c r="I199" s="170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2.6433291753332606E-2</v>
      </c>
      <c r="J199" s="76">
        <f t="shared" si="29"/>
        <v>2.6433291753332606E-2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0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1.2789699114662512E-2</v>
      </c>
      <c r="H200" s="17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7.8784546546321069E-2</v>
      </c>
      <c r="I200" s="17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7.0197030972772079E-2</v>
      </c>
      <c r="J200" s="76">
        <f t="shared" si="29"/>
        <v>7.0197030972772079E-2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0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0.29497083517912959</v>
      </c>
      <c r="H201" s="170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20.491033978223776</v>
      </c>
      <c r="I201" s="170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20.491033978223776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0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3.4284829108888854E-4</v>
      </c>
      <c r="H202" s="170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9.9597428561322126E-3</v>
      </c>
      <c r="I202" s="170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9.9597428561322126E-3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0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1.814706058563197E-2</v>
      </c>
      <c r="H203" s="170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1.0790107801545765</v>
      </c>
      <c r="I203" s="170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1.0790107801545765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0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1.962434508881307E-4</v>
      </c>
      <c r="H204" s="170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2.2323717690880252E-2</v>
      </c>
      <c r="I204" s="170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2.2323717690880252E-2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0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2.440479426016719E-2</v>
      </c>
      <c r="H205" s="170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1.5207603495280584</v>
      </c>
      <c r="I205" s="170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1.5207603495280584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0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6.993672422118014E-4</v>
      </c>
      <c r="H206" s="170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8.3126790409294715E-3</v>
      </c>
      <c r="I206" s="170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8.3126790409294715E-3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0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1.2368940083668194E-2</v>
      </c>
      <c r="H207" s="170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0.51596193598476614</v>
      </c>
      <c r="I207" s="170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0.51596193598476614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0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3.9353831960441746E-2</v>
      </c>
      <c r="H208" s="170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0.78724999532936946</v>
      </c>
      <c r="I208" s="170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0.21817764438868906</v>
      </c>
      <c r="J208" s="76">
        <f t="shared" si="29"/>
        <v>0.21817764438868906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0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3.5077072044612627E-3</v>
      </c>
      <c r="H209" s="170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0.24553950431228838</v>
      </c>
      <c r="I209" s="170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0.24553950431228838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8.2800264987742279E-3</v>
      </c>
      <c r="H210" s="17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0.28273261215326628</v>
      </c>
      <c r="I210" s="17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0.28273261215326628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0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0.30623896718703902</v>
      </c>
      <c r="H211" s="170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5.912249500512976</v>
      </c>
      <c r="I211" s="170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5.912249500512976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0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0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0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0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0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0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0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0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0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0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0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0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0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0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0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0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0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0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0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0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0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0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0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0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0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0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0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0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0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0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0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0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0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0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0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0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0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0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0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0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0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0.10291796754441808</v>
      </c>
      <c r="H226" s="170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0.67672474543221572</v>
      </c>
      <c r="I226" s="170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0.29868938451514426</v>
      </c>
      <c r="J226" s="76">
        <f t="shared" si="42"/>
        <v>0.29868938451514426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0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5.9259365318493672E-3</v>
      </c>
      <c r="H227" s="170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1.8253543780324968E-2</v>
      </c>
      <c r="I227" s="170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7.3280293819807055E-3</v>
      </c>
      <c r="J227" s="76">
        <f t="shared" si="42"/>
        <v>7.3280293819807055E-3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0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7.673819468797507E-3</v>
      </c>
      <c r="H228" s="170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2.5998900360285956E-2</v>
      </c>
      <c r="I228" s="170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1.8777705785216533E-2</v>
      </c>
      <c r="J228" s="76">
        <f t="shared" si="42"/>
        <v>1.8777705785216533E-2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0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0.17698250110747776</v>
      </c>
      <c r="H229" s="170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9.5898039018087271</v>
      </c>
      <c r="I229" s="170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9.5898039018087271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0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2.0570897465333309E-4</v>
      </c>
      <c r="H230" s="17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3.4062320567972157E-3</v>
      </c>
      <c r="I230" s="17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3.4062320567972157E-3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0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1.088823635137918E-2</v>
      </c>
      <c r="H231" s="170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0.36902168681286501</v>
      </c>
      <c r="I231" s="170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0.36902168681286501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0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1.1774607053287841E-4</v>
      </c>
      <c r="H232" s="170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7.634711450281044E-3</v>
      </c>
      <c r="I232" s="170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7.634711450281044E-3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0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1.4642876556100312E-2</v>
      </c>
      <c r="H233" s="170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0.75733865406497303</v>
      </c>
      <c r="I233" s="170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0.75733865406497303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0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4.1962034532708084E-4</v>
      </c>
      <c r="H234" s="170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2.8429362319978787E-3</v>
      </c>
      <c r="I234" s="170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2.8429362319978787E-3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0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7.4213640502009169E-3</v>
      </c>
      <c r="H235" s="170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0.17645898210679001</v>
      </c>
      <c r="I235" s="170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0.17645898210679001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0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2.3612299176265044E-2</v>
      </c>
      <c r="H236" s="170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0.26923949840264427</v>
      </c>
      <c r="I236" s="170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6.0484793323937004E-2</v>
      </c>
      <c r="J236" s="76">
        <f t="shared" si="42"/>
        <v>6.0484793323937004E-2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0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2.1046243226767575E-3</v>
      </c>
      <c r="H237" s="170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8.3974510474802616E-2</v>
      </c>
      <c r="I237" s="170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8.3974510474802616E-2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0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4.9680158992645362E-3</v>
      </c>
      <c r="H238" s="170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9.6694553356417079E-2</v>
      </c>
      <c r="I238" s="170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9.6694553356417079E-2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0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0.1837433803122234</v>
      </c>
      <c r="H239" s="170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3.5473497003077847</v>
      </c>
      <c r="I239" s="170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3.5473497003077847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0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0.17152994590736345</v>
      </c>
      <c r="H240" s="17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1.1278745757203594</v>
      </c>
      <c r="I240" s="17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0.61412770647973591</v>
      </c>
      <c r="J240" s="76">
        <f t="shared" si="42"/>
        <v>0.61412770647973591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0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9.8765608864156123E-3</v>
      </c>
      <c r="H241" s="170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3.0422572967208281E-2</v>
      </c>
      <c r="I241" s="170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1.5066976299399584E-2</v>
      </c>
      <c r="J241" s="76">
        <f t="shared" si="42"/>
        <v>1.5066976299399584E-2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0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1.2789699114662512E-2</v>
      </c>
      <c r="H242" s="170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4.3331500600476594E-2</v>
      </c>
      <c r="I242" s="170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3.8608367035024641E-2</v>
      </c>
      <c r="J242" s="76">
        <f t="shared" si="42"/>
        <v>3.8608367035024641E-2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0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0.29497083517912959</v>
      </c>
      <c r="H243" s="170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15.983006503014545</v>
      </c>
      <c r="I243" s="170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15.983006503014545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0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3.4284829108888854E-4</v>
      </c>
      <c r="H244" s="170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5.6770534279953601E-3</v>
      </c>
      <c r="I244" s="170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5.6770534279953601E-3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0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1.814706058563197E-2</v>
      </c>
      <c r="H245" s="170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0.61503614468810852</v>
      </c>
      <c r="I245" s="170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0.61503614468810852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0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1.962434508881307E-4</v>
      </c>
      <c r="H246" s="170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1.2724519083801742E-2</v>
      </c>
      <c r="I246" s="170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1.2724519083801742E-2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0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2.440479426016719E-2</v>
      </c>
      <c r="H247" s="170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1.2622310901082885</v>
      </c>
      <c r="I247" s="170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1.2622310901082885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0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6.993672422118014E-4</v>
      </c>
      <c r="H248" s="170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4.7382270533297991E-3</v>
      </c>
      <c r="I248" s="170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4.7382270533297991E-3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0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1.2368940083668194E-2</v>
      </c>
      <c r="H249" s="170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0.29409830351131666</v>
      </c>
      <c r="I249" s="170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0.29409830351131666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0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3.9353831960441746E-2</v>
      </c>
      <c r="H250" s="17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0.44873249733774057</v>
      </c>
      <c r="I250" s="17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0.12436125730155274</v>
      </c>
      <c r="J250" s="76">
        <f t="shared" si="42"/>
        <v>0.12436125730155274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0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3.5077072044612627E-3</v>
      </c>
      <c r="H251" s="170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0.13995751745800436</v>
      </c>
      <c r="I251" s="170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0.13995751745800436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0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8.2800264987742279E-3</v>
      </c>
      <c r="H252" s="170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0.16115758892736179</v>
      </c>
      <c r="I252" s="170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0.16115758892736179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0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0.30623896718703902</v>
      </c>
      <c r="H253" s="170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5.912249500512976</v>
      </c>
      <c r="I253" s="170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5.912249500512976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0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0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0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0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0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0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0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0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0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0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0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0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0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0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0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0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0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0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0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0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0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0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0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0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0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0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0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0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0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0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0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0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0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0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0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0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0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0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0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0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0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147797.19055741493</v>
      </c>
      <c r="H268" s="170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1036058.3058074786</v>
      </c>
      <c r="I268" s="170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457290.2347257759</v>
      </c>
      <c r="J268" s="76">
        <f t="shared" si="42"/>
        <v>457290.2347257759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0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42491.692285256802</v>
      </c>
      <c r="H269" s="170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164017.93222109127</v>
      </c>
      <c r="I269" s="170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65846.294886771793</v>
      </c>
      <c r="J269" s="76">
        <f t="shared" si="42"/>
        <v>65846.294886771793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0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33623.8608518119</v>
      </c>
      <c r="H270" s="1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147944.98774797237</v>
      </c>
      <c r="I270" s="1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106853.26740097304</v>
      </c>
      <c r="J270" s="76">
        <f t="shared" si="42"/>
        <v>106853.26740097304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0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48034.086931159858</v>
      </c>
      <c r="H271" s="170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2383451.3935241522</v>
      </c>
      <c r="I271" s="170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2383451.3935241522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0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14779.719055741494</v>
      </c>
      <c r="H272" s="170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306679.17040663603</v>
      </c>
      <c r="I272" s="170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306679.17040663603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0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11084.789291806121</v>
      </c>
      <c r="H273" s="170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470780.97166840063</v>
      </c>
      <c r="I273" s="170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470780.97166840063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0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1847.4648819676868</v>
      </c>
      <c r="H274" s="170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150113.41518555352</v>
      </c>
      <c r="I274" s="170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150113.41518555352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0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18474.648819676866</v>
      </c>
      <c r="H275" s="170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822306.61896381737</v>
      </c>
      <c r="I275" s="170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822306.61896381737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0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3694.9297639353736</v>
      </c>
      <c r="H276" s="170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31369.953695811328</v>
      </c>
      <c r="I276" s="170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31369.953695811328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0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10334.22720484927</v>
      </c>
      <c r="H277" s="170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307918.04999645095</v>
      </c>
      <c r="I277" s="170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307918.04999645095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0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14925.782330697086</v>
      </c>
      <c r="H278" s="170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213272.42544984157</v>
      </c>
      <c r="I278" s="170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47911.761281537649</v>
      </c>
      <c r="J278" s="76">
        <f t="shared" si="55"/>
        <v>47911.761281537649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0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2803.3191853889462</v>
      </c>
      <c r="H279" s="170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140165.95926944731</v>
      </c>
      <c r="I279" s="170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140165.95926944731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0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1077.9992614184657</v>
      </c>
      <c r="H280" s="17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26292.664912645509</v>
      </c>
      <c r="I280" s="17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26292.664912645509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0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18474.648819676866</v>
      </c>
      <c r="H281" s="170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254765.40722334399</v>
      </c>
      <c r="I281" s="170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254765.40722334399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0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100704.76321947954</v>
      </c>
      <c r="H282" s="170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705940.39016855159</v>
      </c>
      <c r="I282" s="170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384384.54244677647</v>
      </c>
      <c r="J282" s="76">
        <f t="shared" si="55"/>
        <v>384384.54244677647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0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28449.095609502972</v>
      </c>
      <c r="H283" s="170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109813.50905268149</v>
      </c>
      <c r="I283" s="170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54385.851585730736</v>
      </c>
      <c r="J283" s="76">
        <f t="shared" si="55"/>
        <v>54385.851585730736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0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25931.476529015981</v>
      </c>
      <c r="H284" s="170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114098.49672767031</v>
      </c>
      <c r="I284" s="170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101661.76058435427</v>
      </c>
      <c r="J284" s="76">
        <f t="shared" si="55"/>
        <v>101661.76058435427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0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22658.571724382895</v>
      </c>
      <c r="H285" s="170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1124318.3289638793</v>
      </c>
      <c r="I285" s="170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1124318.3289638793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0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10070.476321947954</v>
      </c>
      <c r="H286" s="170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208962.38368042005</v>
      </c>
      <c r="I286" s="170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208962.38368042005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0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7552.8572414609653</v>
      </c>
      <c r="H287" s="170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320776.64062014373</v>
      </c>
      <c r="I287" s="170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320776.64062014373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0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1258.8095402434942</v>
      </c>
      <c r="H288" s="170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102282.9721953072</v>
      </c>
      <c r="I288" s="170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102282.9721953072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0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10070.476321947954</v>
      </c>
      <c r="H289" s="170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448236.90108990343</v>
      </c>
      <c r="I289" s="170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448236.90108990343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0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2517.6190804869884</v>
      </c>
      <c r="H290" s="17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21374.585993334535</v>
      </c>
      <c r="I290" s="17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21374.585993334535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0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7041.4457798260073</v>
      </c>
      <c r="H291" s="170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209806.5206716526</v>
      </c>
      <c r="I291" s="170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209806.5206716526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0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10169.999644847319</v>
      </c>
      <c r="H292" s="170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145317.70884932342</v>
      </c>
      <c r="I292" s="170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40273.198593595385</v>
      </c>
      <c r="J292" s="76">
        <f t="shared" si="55"/>
        <v>40273.198593595385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0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1910.101225392033</v>
      </c>
      <c r="H293" s="170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95505.061269601661</v>
      </c>
      <c r="I293" s="170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95505.061269601661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0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734.51775343285783</v>
      </c>
      <c r="H294" s="170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17915.067156898975</v>
      </c>
      <c r="I294" s="170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17915.067156898975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0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22658.571724382895</v>
      </c>
      <c r="H295" s="170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312461.70407924015</v>
      </c>
      <c r="I295" s="170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312461.70407924015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0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0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0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0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0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0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0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0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0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0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0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0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0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0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0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0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0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0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0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0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0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0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0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0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0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0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0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0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0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0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0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0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0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0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0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0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0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0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0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0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0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63341.653096034977</v>
      </c>
      <c r="H310" s="17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297496.7420961475</v>
      </c>
      <c r="I310" s="17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131307.62454268712</v>
      </c>
      <c r="J310" s="76">
        <f t="shared" si="55"/>
        <v>131307.62454268712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0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18210.725265110057</v>
      </c>
      <c r="H311" s="170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40067.237728295149</v>
      </c>
      <c r="I311" s="170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16085.30917948282</v>
      </c>
      <c r="J311" s="76">
        <f t="shared" si="55"/>
        <v>16085.30917948282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0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14410.226079347956</v>
      </c>
      <c r="H312" s="170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34872.747112022058</v>
      </c>
      <c r="I312" s="170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25186.841601657932</v>
      </c>
      <c r="J312" s="76">
        <f t="shared" si="55"/>
        <v>25186.841601657932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0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20586.037256211366</v>
      </c>
      <c r="H313" s="170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796753.75154950237</v>
      </c>
      <c r="I313" s="170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796753.75154950237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0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6334.1653096034979</v>
      </c>
      <c r="H314" s="170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74917.340199335362</v>
      </c>
      <c r="I314" s="170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74917.340199335362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0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4750.6239822026228</v>
      </c>
      <c r="H315" s="170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115005.06593613786</v>
      </c>
      <c r="I315" s="170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115005.06593613786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0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791.77066370043724</v>
      </c>
      <c r="H316" s="170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36670.562852470932</v>
      </c>
      <c r="I316" s="170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36670.562852470932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0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7917.7066370043722</v>
      </c>
      <c r="H317" s="170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292506.21160284366</v>
      </c>
      <c r="I317" s="170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292506.21160284366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0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1583.5413274008745</v>
      </c>
      <c r="H318" s="170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7663.2315456910528</v>
      </c>
      <c r="I318" s="170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7663.2315456910528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0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4428.9545163639732</v>
      </c>
      <c r="H319" s="170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75219.980784847285</v>
      </c>
      <c r="I319" s="170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75219.980784847285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0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6396.7638560130372</v>
      </c>
      <c r="H320" s="17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52099.406788461296</v>
      </c>
      <c r="I320" s="17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11704.158827347053</v>
      </c>
      <c r="J320" s="76">
        <f t="shared" si="55"/>
        <v>11704.158827347053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0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1201.4225080238341</v>
      </c>
      <c r="H321" s="170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34240.541478679275</v>
      </c>
      <c r="I321" s="170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34240.541478679275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0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461.99968346505676</v>
      </c>
      <c r="H322" s="170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6422.9224286605449</v>
      </c>
      <c r="I322" s="170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6422.9224286605449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0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7917.7066370043722</v>
      </c>
      <c r="H323" s="170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109185.17452429031</v>
      </c>
      <c r="I323" s="170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109185.17452429031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0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100704.76321947954</v>
      </c>
      <c r="H324" s="170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472980.06141292956</v>
      </c>
      <c r="I324" s="170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257537.64343934023</v>
      </c>
      <c r="J324" s="76">
        <f t="shared" si="55"/>
        <v>257537.64343934023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0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28449.095609502972</v>
      </c>
      <c r="H325" s="170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62593.700160028442</v>
      </c>
      <c r="I325" s="170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30999.935403866519</v>
      </c>
      <c r="J325" s="76">
        <f t="shared" si="55"/>
        <v>30999.935403866519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0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25931.476529015981</v>
      </c>
      <c r="H326" s="170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62754.173200218676</v>
      </c>
      <c r="I326" s="170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55913.968321394852</v>
      </c>
      <c r="J326" s="76">
        <f t="shared" si="55"/>
        <v>55913.968321394852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0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22658.571724382895</v>
      </c>
      <c r="H327" s="170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876968.29659182602</v>
      </c>
      <c r="I327" s="170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876968.29659182602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0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10070.476321947954</v>
      </c>
      <c r="H328" s="170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119108.55869783941</v>
      </c>
      <c r="I328" s="170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119108.55869783941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0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7552.8572414609653</v>
      </c>
      <c r="H329" s="170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182842.6851534819</v>
      </c>
      <c r="I329" s="170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182842.6851534819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0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1258.8095402434942</v>
      </c>
      <c r="H330" s="17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58301.294151325099</v>
      </c>
      <c r="I330" s="17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58301.294151325099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0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10070.476321947954</v>
      </c>
      <c r="H331" s="170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372036.62790461985</v>
      </c>
      <c r="I331" s="170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372036.62790461985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0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2517.6190804869884</v>
      </c>
      <c r="H332" s="170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12183.514016200685</v>
      </c>
      <c r="I332" s="170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12183.514016200685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0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7041.4457798260073</v>
      </c>
      <c r="H333" s="170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119589.71678284198</v>
      </c>
      <c r="I333" s="170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119589.71678284198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0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10169.999644847319</v>
      </c>
      <c r="H334" s="170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82831.094044114347</v>
      </c>
      <c r="I334" s="170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22955.723198349369</v>
      </c>
      <c r="J334" s="76">
        <f t="shared" si="55"/>
        <v>22955.723198349369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0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1910.101225392033</v>
      </c>
      <c r="H335" s="170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54437.884923672944</v>
      </c>
      <c r="I335" s="170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54437.884923672944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0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734.51775343285783</v>
      </c>
      <c r="H336" s="170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10211.588279432413</v>
      </c>
      <c r="I336" s="170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10211.588279432413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0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22658.571724382895</v>
      </c>
      <c r="H337" s="170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312461.70407924015</v>
      </c>
      <c r="I337" s="170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312461.70407924015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0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0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0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0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0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0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0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0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0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0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0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0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0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0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0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0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0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0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0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0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0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0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0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0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0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0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0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0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0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0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0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0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0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0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0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0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0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0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0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2058.345238468457</v>
      </c>
      <c r="H352" s="170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17314.800145996658</v>
      </c>
      <c r="I352" s="170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7642.3199144392747</v>
      </c>
      <c r="J352" s="76">
        <f t="shared" si="60"/>
        <v>7642.3199144392747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0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55.660945475510907</v>
      </c>
      <c r="H353" s="170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257.82149944256656</v>
      </c>
      <c r="I353" s="170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103.50447814182274</v>
      </c>
      <c r="J353" s="76">
        <f t="shared" si="60"/>
        <v>103.50447814182274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0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224.82325375771026</v>
      </c>
      <c r="H354" s="170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1187.0667798407101</v>
      </c>
      <c r="I354" s="170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857.35898173995304</v>
      </c>
      <c r="J354" s="76">
        <f t="shared" si="60"/>
        <v>857.35898173995304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0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661.07456778336234</v>
      </c>
      <c r="H355" s="170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39363.024064092526</v>
      </c>
      <c r="I355" s="170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39363.024064092526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0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12.520036390025359</v>
      </c>
      <c r="H356" s="170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311.74890611163141</v>
      </c>
      <c r="I356" s="170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311.74890611163141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0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21.285207726900612</v>
      </c>
      <c r="H357" s="170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1084.8023011036901</v>
      </c>
      <c r="I357" s="170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1084.8023011036901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0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59.466392203805022</v>
      </c>
      <c r="H358" s="170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5798.2395072987674</v>
      </c>
      <c r="I358" s="170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5798.2395072987674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0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63.400350767182147</v>
      </c>
      <c r="H359" s="170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3386.3395351767331</v>
      </c>
      <c r="I359" s="170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3386.3395351767331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0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13.676758952114534</v>
      </c>
      <c r="H360" s="17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139.33882020414288</v>
      </c>
      <c r="I360" s="17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139.33882020414288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0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97.658692306205097</v>
      </c>
      <c r="H361" s="170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3491.7994548468423</v>
      </c>
      <c r="I361" s="170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3491.7994548468423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0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708.99747499699004</v>
      </c>
      <c r="H362" s="170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12156.919438877501</v>
      </c>
      <c r="I362" s="170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2731.0582736884057</v>
      </c>
      <c r="J362" s="76">
        <f t="shared" si="60"/>
        <v>2731.0582736884057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0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21.431403448502294</v>
      </c>
      <c r="H363" s="170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1285.8842069101377</v>
      </c>
      <c r="I363" s="170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1285.8842069101377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0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45.485442530480874</v>
      </c>
      <c r="H364" s="170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1331.2812447945623</v>
      </c>
      <c r="I364" s="170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1331.2812447945623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0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1318.2344557118079</v>
      </c>
      <c r="H365" s="170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21814.143773118998</v>
      </c>
      <c r="I365" s="170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21814.143773118998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0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3.7348132878940656E-2</v>
      </c>
      <c r="H366" s="170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0.31417249377764878</v>
      </c>
      <c r="I366" s="170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0.17106692286192982</v>
      </c>
      <c r="J366" s="76">
        <f t="shared" si="60"/>
        <v>0.17106692286192982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0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1.0099532133558114E-3</v>
      </c>
      <c r="H367" s="170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4.6781032842641177E-3</v>
      </c>
      <c r="I367" s="170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2.3168609501282053E-3</v>
      </c>
      <c r="J367" s="76">
        <f t="shared" si="60"/>
        <v>2.3168609501282053E-3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0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4.0793587969073985E-3</v>
      </c>
      <c r="H368" s="170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2.1539014447671066E-2</v>
      </c>
      <c r="I368" s="170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1.9191261872874919E-2</v>
      </c>
      <c r="J368" s="76">
        <f t="shared" si="60"/>
        <v>1.9191261872874919E-2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0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1.1995024128620996E-2</v>
      </c>
      <c r="H369" s="170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0.7142317167146085</v>
      </c>
      <c r="I369" s="170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0.7142317167146085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0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2.27172766747217E-4</v>
      </c>
      <c r="H370" s="1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5.6566018920057035E-3</v>
      </c>
      <c r="I370" s="1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5.6566018920057035E-3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0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3.8621449486852974E-4</v>
      </c>
      <c r="H371" s="170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1.9683452382918652E-2</v>
      </c>
      <c r="I371" s="170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1.9683452382918652E-2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0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1.079002043171071E-3</v>
      </c>
      <c r="H372" s="170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0.10520753056161153</v>
      </c>
      <c r="I372" s="170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0.10520753056161153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0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1.1503826864272908E-3</v>
      </c>
      <c r="H373" s="170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6.1444240047454461E-2</v>
      </c>
      <c r="I373" s="170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6.1444240047454461E-2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0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2.4816119334620677E-4</v>
      </c>
      <c r="H374" s="170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2.5282662378111553E-3</v>
      </c>
      <c r="I374" s="170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2.5282662378111553E-3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0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1.7719912815741289E-3</v>
      </c>
      <c r="H375" s="170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6.3357782547337677E-2</v>
      </c>
      <c r="I375" s="170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6.3357782547337677E-2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0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1.2864572673301218E-2</v>
      </c>
      <c r="H376" s="170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0.220584105191026</v>
      </c>
      <c r="I376" s="170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6.1132449343527386E-2</v>
      </c>
      <c r="J376" s="76">
        <f t="shared" si="60"/>
        <v>6.1132449343527386E-2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0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3.8886717777840684E-4</v>
      </c>
      <c r="H377" s="170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2.3332030666704411E-2</v>
      </c>
      <c r="I377" s="170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2.3332030666704411E-2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0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8.2532138920963214E-4</v>
      </c>
      <c r="H378" s="170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2.4155747976867283E-2</v>
      </c>
      <c r="I378" s="170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2.4155747976867283E-2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0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2.3919017421079283E-2</v>
      </c>
      <c r="H379" s="170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0.39581190028402002</v>
      </c>
      <c r="I379" s="170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0.39581190028402002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0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0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0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0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0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0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0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0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0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0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0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0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0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0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0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0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0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0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0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0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0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0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0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0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0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0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0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0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0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0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0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0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0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0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0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0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0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0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0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882.14795934362451</v>
      </c>
      <c r="H394" s="170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4971.8211847790417</v>
      </c>
      <c r="I394" s="170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2194.4375754318494</v>
      </c>
      <c r="J394" s="76">
        <f t="shared" si="60"/>
        <v>2194.4375754318494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0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23.854690918076102</v>
      </c>
      <c r="H395" s="170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62.982109149541238</v>
      </c>
      <c r="I395" s="170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25.284665374645265</v>
      </c>
      <c r="J395" s="76">
        <f t="shared" si="60"/>
        <v>25.284665374645265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0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96.352823039018702</v>
      </c>
      <c r="H396" s="170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279.8085981053103</v>
      </c>
      <c r="I396" s="170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202.09175998156039</v>
      </c>
      <c r="J396" s="76">
        <f t="shared" si="60"/>
        <v>202.09175998156039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0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283.31767190715527</v>
      </c>
      <c r="H397" s="170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13158.49661571093</v>
      </c>
      <c r="I397" s="170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13158.49661571093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0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5.3657298814394387</v>
      </c>
      <c r="H398" s="170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76.155804207269952</v>
      </c>
      <c r="I398" s="170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76.155804207269952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0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9.1222318829574061</v>
      </c>
      <c r="H399" s="170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265.0017049839015</v>
      </c>
      <c r="I399" s="170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265.0017049839015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0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25.485596658773581</v>
      </c>
      <c r="H400" s="17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1416.4270796401272</v>
      </c>
      <c r="I400" s="17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1416.4270796401272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0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27.171578900220926</v>
      </c>
      <c r="H401" s="170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1204.5693489414382</v>
      </c>
      <c r="I401" s="170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1204.5693489414382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0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5.8614681223348013</v>
      </c>
      <c r="H402" s="170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34.03848322129776</v>
      </c>
      <c r="I402" s="170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34.03848322129776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0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41.8537252740879</v>
      </c>
      <c r="H403" s="170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852.99672396972858</v>
      </c>
      <c r="I403" s="170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852.99672396972858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0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303.85606071299577</v>
      </c>
      <c r="H404" s="170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2969.7617486400759</v>
      </c>
      <c r="I404" s="170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667.15852114388201</v>
      </c>
      <c r="J404" s="76">
        <f t="shared" si="60"/>
        <v>667.15852114388201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0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9.1848871922152693</v>
      </c>
      <c r="H405" s="170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314.12314197376219</v>
      </c>
      <c r="I405" s="170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314.12314197376219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0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19.493761084491805</v>
      </c>
      <c r="H406" s="170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325.21298979981452</v>
      </c>
      <c r="I406" s="170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325.21298979981452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0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564.95762387648915</v>
      </c>
      <c r="H407" s="170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9348.9187599081433</v>
      </c>
      <c r="I407" s="170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9348.9187599081433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0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3.7348132878940656E-2</v>
      </c>
      <c r="H408" s="170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0.21049557083102469</v>
      </c>
      <c r="I408" s="170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0.11461483831749297</v>
      </c>
      <c r="J408" s="76">
        <f t="shared" si="64"/>
        <v>0.11461483831749297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0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1.0099532133558114E-3</v>
      </c>
      <c r="H409" s="170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2.6665188720305473E-3</v>
      </c>
      <c r="I409" s="170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1.3206107415730769E-3</v>
      </c>
      <c r="J409" s="76">
        <f t="shared" si="64"/>
        <v>1.3206107415730769E-3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0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4.0793587969073985E-3</v>
      </c>
      <c r="H410" s="17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1.1846457946219087E-2</v>
      </c>
      <c r="I410" s="17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1.0555194030081205E-2</v>
      </c>
      <c r="J410" s="76">
        <f t="shared" si="64"/>
        <v>1.0555194030081205E-2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0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1.1995024128620996E-2</v>
      </c>
      <c r="H411" s="170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0.55710073903739477</v>
      </c>
      <c r="I411" s="170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0.55710073903739477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0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2.27172766747217E-4</v>
      </c>
      <c r="H412" s="170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3.2242630784432508E-3</v>
      </c>
      <c r="I412" s="170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3.2242630784432508E-3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0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3.8621449486852974E-4</v>
      </c>
      <c r="H413" s="170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1.1219567858263632E-2</v>
      </c>
      <c r="I413" s="170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1.1219567858263632E-2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0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1.079002043171071E-3</v>
      </c>
      <c r="H414" s="170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5.9968292420118564E-2</v>
      </c>
      <c r="I414" s="170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5.9968292420118564E-2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0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1.1503826864272908E-3</v>
      </c>
      <c r="H415" s="170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5.0998719239387202E-2</v>
      </c>
      <c r="I415" s="170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5.0998719239387202E-2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0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2.4816119334620677E-4</v>
      </c>
      <c r="H416" s="170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1.4411117555523582E-3</v>
      </c>
      <c r="I416" s="170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1.4411117555523582E-3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0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1.7719912815741289E-3</v>
      </c>
      <c r="H417" s="170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3.6113936051982473E-2</v>
      </c>
      <c r="I417" s="170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3.6113936051982473E-2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0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1.2864572673301218E-2</v>
      </c>
      <c r="H418" s="170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0.12573293995888482</v>
      </c>
      <c r="I418" s="170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3.4845496125810609E-2</v>
      </c>
      <c r="J418" s="76">
        <f t="shared" si="64"/>
        <v>3.4845496125810609E-2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0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3.8886717777840684E-4</v>
      </c>
      <c r="H419" s="170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1.3299257480021512E-2</v>
      </c>
      <c r="I419" s="170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1.3299257480021512E-2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0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8.2532138920963214E-4</v>
      </c>
      <c r="H420" s="17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1.376877634681435E-2</v>
      </c>
      <c r="I420" s="17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1.376877634681435E-2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0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2.3919017421079283E-2</v>
      </c>
      <c r="H421" s="170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0.39581190028402002</v>
      </c>
      <c r="I421" s="170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0.39581190028402002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0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0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0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0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0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0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0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0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0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0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0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0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0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0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0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0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0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0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0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0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0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0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0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0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0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0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0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0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0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0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0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0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0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0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0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0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0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0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0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0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0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3.7027113919355294E-2</v>
      </c>
      <c r="H436" s="170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0.36338409600455279</v>
      </c>
      <c r="I436" s="170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0.16038865537400954</v>
      </c>
      <c r="J436" s="76">
        <f t="shared" si="64"/>
        <v>0.16038865537400954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0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6.7253448927833304E-4</v>
      </c>
      <c r="H437" s="170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3.6343763800601118E-3</v>
      </c>
      <c r="I437" s="170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1.4590491149978238E-3</v>
      </c>
      <c r="J437" s="76">
        <f t="shared" si="64"/>
        <v>1.4590491149978238E-3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0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3.2851736129046157E-3</v>
      </c>
      <c r="H438" s="170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2.0236669455492434E-2</v>
      </c>
      <c r="I438" s="170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1.4615934514229413E-2</v>
      </c>
      <c r="J438" s="76">
        <f t="shared" si="64"/>
        <v>1.4615934514229413E-2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0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2.4141380399768712E-2</v>
      </c>
      <c r="H439" s="170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1.677053413611133</v>
      </c>
      <c r="I439" s="170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1.677053413611133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0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1.1362379471386713E-4</v>
      </c>
      <c r="H440" s="17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3.3007712364378399E-3</v>
      </c>
      <c r="I440" s="17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3.3007712364378399E-3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0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6.4764207543260431E-4</v>
      </c>
      <c r="H441" s="170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3.850831807035196E-2</v>
      </c>
      <c r="I441" s="170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3.850831807035196E-2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0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7.4581528668985083E-4</v>
      </c>
      <c r="H442" s="170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8.4840384910975619E-2</v>
      </c>
      <c r="I442" s="170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8.4840384910975619E-2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0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7.6604739928526388E-4</v>
      </c>
      <c r="H443" s="170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4.7735477639061934E-2</v>
      </c>
      <c r="I443" s="170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4.7735477639061934E-2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0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2.7797981183837455E-4</v>
      </c>
      <c r="H444" s="170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3.3040680435109204E-3</v>
      </c>
      <c r="I444" s="170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3.3040680435109204E-3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0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1.9849106799870479E-3</v>
      </c>
      <c r="H445" s="170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8.2799201085565641E-2</v>
      </c>
      <c r="I445" s="170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8.2799201085565641E-2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0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1.8575146504759429E-2</v>
      </c>
      <c r="H446" s="170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0.37158475479118419</v>
      </c>
      <c r="I446" s="170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8.3476708392388882E-2</v>
      </c>
      <c r="J446" s="76">
        <f t="shared" si="64"/>
        <v>8.3476708392388882E-2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0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4.3559278326872034E-4</v>
      </c>
      <c r="H447" s="170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3.0491494828810424E-2</v>
      </c>
      <c r="I447" s="170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3.0491494828810424E-2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0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1.328740612923937E-3</v>
      </c>
      <c r="H448" s="170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4.5371630685207602E-2</v>
      </c>
      <c r="I448" s="170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4.5371630685207602E-2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0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4.6208739632616271E-2</v>
      </c>
      <c r="H449" s="170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0.89210592734728977</v>
      </c>
      <c r="I449" s="170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0.89210592734728977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0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2.6447938513825212E-2</v>
      </c>
      <c r="H450" s="17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0.25956006857468061</v>
      </c>
      <c r="I450" s="17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0.14133045733891361</v>
      </c>
      <c r="J450" s="76">
        <f t="shared" si="64"/>
        <v>0.14133045733891361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0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4.8038177805595223E-4</v>
      </c>
      <c r="H451" s="170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2.5959831286143662E-3</v>
      </c>
      <c r="I451" s="170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1.2856774578084967E-3</v>
      </c>
      <c r="J451" s="76">
        <f t="shared" si="64"/>
        <v>1.2856774578084967E-3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0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2.346552580646154E-3</v>
      </c>
      <c r="H452" s="170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1.445476389678031E-2</v>
      </c>
      <c r="I452" s="170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1.2879194632031256E-2</v>
      </c>
      <c r="J452" s="76">
        <f t="shared" si="64"/>
        <v>1.2879194632031256E-2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0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1.724384314269194E-2</v>
      </c>
      <c r="H453" s="170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1.1978952954365236</v>
      </c>
      <c r="I453" s="170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1.1978952954365236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0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8.1159853367047952E-5</v>
      </c>
      <c r="H454" s="170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2.3576937403127431E-3</v>
      </c>
      <c r="I454" s="170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2.3576937403127431E-3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0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4.6260148245186024E-4</v>
      </c>
      <c r="H455" s="170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2.7505941478822828E-2</v>
      </c>
      <c r="I455" s="170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2.7505941478822828E-2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0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5.3272520477846486E-4</v>
      </c>
      <c r="H456" s="170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6.060027493641116E-2</v>
      </c>
      <c r="I456" s="170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6.060027493641116E-2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0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5.471767137751885E-4</v>
      </c>
      <c r="H457" s="170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3.4096769742187102E-2</v>
      </c>
      <c r="I457" s="170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3.4096769742187102E-2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0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1.9855700845598185E-4</v>
      </c>
      <c r="H458" s="170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2.3600486025078006E-3</v>
      </c>
      <c r="I458" s="170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2.3600486025078006E-3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0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1.4177933428478914E-3</v>
      </c>
      <c r="H459" s="170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5.9142286489689749E-2</v>
      </c>
      <c r="I459" s="170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5.9142286489689749E-2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0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1.3267961789113878E-2</v>
      </c>
      <c r="H460" s="17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0.26541768199370303</v>
      </c>
      <c r="I460" s="17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7.3557580158847335E-2</v>
      </c>
      <c r="J460" s="76">
        <f t="shared" si="64"/>
        <v>7.3557580158847335E-2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0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3.1113770233480025E-4</v>
      </c>
      <c r="H461" s="170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2.1779639163436018E-2</v>
      </c>
      <c r="I461" s="170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2.1779639163436018E-2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0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9.4910043780281215E-4</v>
      </c>
      <c r="H462" s="170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3.2408307632291147E-2</v>
      </c>
      <c r="I462" s="170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3.2408307632291147E-2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0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3.3006242594725912E-2</v>
      </c>
      <c r="H463" s="170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0.6372185195337785</v>
      </c>
      <c r="I463" s="170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0.6372185195337785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0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0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0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0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0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0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0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0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0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0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0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0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0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0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0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0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0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0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0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0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0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0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0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0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0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0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0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0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0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0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0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0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0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0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0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0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0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0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0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0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0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1.5868763108295127E-2</v>
      </c>
      <c r="H478" s="170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0.10434314756702162</v>
      </c>
      <c r="I478" s="170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4.6054456757394169E-2</v>
      </c>
      <c r="J478" s="76">
        <f t="shared" si="68"/>
        <v>4.6054456757394169E-2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0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2.8822906683357132E-4</v>
      </c>
      <c r="H479" s="170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8.8782622998611303E-4</v>
      </c>
      <c r="I479" s="170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3.5642485523518274E-4</v>
      </c>
      <c r="J479" s="76">
        <f t="shared" si="68"/>
        <v>3.5642485523518274E-4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0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1.4079315483876923E-3</v>
      </c>
      <c r="H480" s="17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4.7700720859375021E-3</v>
      </c>
      <c r="I480" s="17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3.4451845640683615E-3</v>
      </c>
      <c r="J480" s="76">
        <f t="shared" si="68"/>
        <v>3.4451845640683615E-3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0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1.0346305885615165E-2</v>
      </c>
      <c r="H481" s="170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0.56061499826429306</v>
      </c>
      <c r="I481" s="170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0.56061499826429306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0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4.8695912020228768E-5</v>
      </c>
      <c r="H482" s="170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8.063312591869579E-4</v>
      </c>
      <c r="I482" s="170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8.063312591869579E-4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0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2.7756088947111617E-4</v>
      </c>
      <c r="H483" s="170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9.4070319857574077E-3</v>
      </c>
      <c r="I483" s="170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9.4070319857574077E-3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0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3.1963512286707895E-4</v>
      </c>
      <c r="H484" s="170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2.0725294028252614E-2</v>
      </c>
      <c r="I484" s="170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2.0725294028252614E-2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0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3.2830602826511312E-4</v>
      </c>
      <c r="H485" s="170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1.6980191331609173E-2</v>
      </c>
      <c r="I485" s="170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1.6980191331609173E-2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0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1.1913420507358911E-4</v>
      </c>
      <c r="H486" s="170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8.0713662205766749E-4</v>
      </c>
      <c r="I486" s="170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8.0713662205766749E-4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0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8.5067600570873478E-4</v>
      </c>
      <c r="H487" s="170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2.0226661979473891E-2</v>
      </c>
      <c r="I487" s="170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2.0226661979473891E-2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0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7.9607770734683274E-3</v>
      </c>
      <c r="H488" s="170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9.0772847241846422E-2</v>
      </c>
      <c r="I488" s="170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2.0392167335854999E-2</v>
      </c>
      <c r="J488" s="76">
        <f t="shared" ref="J488:J505" si="70">IF(I488&lt;&gt;0,I488,H488)</f>
        <v>2.0392167335854999E-2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0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1.8668262140088016E-4</v>
      </c>
      <c r="H489" s="170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7.4486365938951186E-3</v>
      </c>
      <c r="I489" s="170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7.4486365938951186E-3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0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5.6946026268168721E-4</v>
      </c>
      <c r="H490" s="17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1.1083641210243571E-2</v>
      </c>
      <c r="I490" s="17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1.1083641210243571E-2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0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1.9803745556835544E-2</v>
      </c>
      <c r="H491" s="170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0.38233111172026701</v>
      </c>
      <c r="I491" s="170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0.38233111172026701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0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2.6447938513825212E-2</v>
      </c>
      <c r="H492" s="170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0.17390524594503604</v>
      </c>
      <c r="I492" s="170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9.4691406417072119E-2</v>
      </c>
      <c r="J492" s="76">
        <f t="shared" si="70"/>
        <v>9.4691406417072119E-2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0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4.8038177805595223E-4</v>
      </c>
      <c r="H493" s="170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1.4797103833101887E-3</v>
      </c>
      <c r="I493" s="170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7.3283615095084292E-4</v>
      </c>
      <c r="J493" s="76">
        <f t="shared" si="70"/>
        <v>7.3283615095084292E-4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0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2.346552580646154E-3</v>
      </c>
      <c r="H494" s="170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7.9501201432291713E-3</v>
      </c>
      <c r="I494" s="170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7.0835570476171913E-3</v>
      </c>
      <c r="J494" s="76">
        <f t="shared" si="70"/>
        <v>7.0835570476171913E-3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0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1.724384314269194E-2</v>
      </c>
      <c r="H495" s="170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0.93435833044048844</v>
      </c>
      <c r="I495" s="170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0.93435833044048844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0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8.1159853367047952E-5</v>
      </c>
      <c r="H496" s="170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1.3438854319782634E-3</v>
      </c>
      <c r="I496" s="170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1.3438854319782634E-3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0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4.6260148245186024E-4</v>
      </c>
      <c r="H497" s="170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1.5678386642929015E-2</v>
      </c>
      <c r="I497" s="170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1.5678386642929015E-2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0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5.3272520477846486E-4</v>
      </c>
      <c r="H498" s="170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3.4542156713754359E-2</v>
      </c>
      <c r="I498" s="170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3.4542156713754359E-2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0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5.471767137751885E-4</v>
      </c>
      <c r="H499" s="170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2.8300318886015287E-2</v>
      </c>
      <c r="I499" s="170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2.8300318886015287E-2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0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1.9855700845598185E-4</v>
      </c>
      <c r="H500" s="17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1.3452277034294465E-3</v>
      </c>
      <c r="I500" s="17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1.3452277034294465E-3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0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1.4177933428478914E-3</v>
      </c>
      <c r="H501" s="170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3.3711103299123156E-2</v>
      </c>
      <c r="I501" s="170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3.3711103299123156E-2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0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1.3267961789113878E-2</v>
      </c>
      <c r="H502" s="170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0.1512880787364107</v>
      </c>
      <c r="I502" s="170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4.1927820690542981E-2</v>
      </c>
      <c r="J502" s="76">
        <f t="shared" si="70"/>
        <v>4.1927820690542981E-2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0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3.1113770233480025E-4</v>
      </c>
      <c r="H503" s="170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1.241439432315853E-2</v>
      </c>
      <c r="I503" s="170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1.241439432315853E-2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0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9.4910043780281215E-4</v>
      </c>
      <c r="H504" s="170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1.8472735350405951E-2</v>
      </c>
      <c r="I504" s="170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1.8472735350405951E-2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0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3.3006242594725912E-2</v>
      </c>
      <c r="H505" s="170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0.6372185195337785</v>
      </c>
      <c r="I505" s="170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0.6372185195337785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2021-09-21T15:40:02Z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484502136707305</vt:r8>
  </property>
</Properties>
</file>