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61D9C27D-41B0-41C0-BAA9-1A7F93C400B4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88" r:id="rId37"/>
    <pivotCache cacheId="192" r:id="rId38"/>
    <pivotCache cacheId="197" r:id="rId39"/>
    <pivotCache cacheId="202" r:id="rId40"/>
    <pivotCache cacheId="208" r:id="rId41"/>
    <pivotCache cacheId="213" r:id="rId42"/>
    <pivotCache cacheId="218" r:id="rId43"/>
    <pivotCache cacheId="223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72" i="35" l="1"/>
  <c r="I173" i="35"/>
  <c r="I174" i="35"/>
  <c r="I175" i="35"/>
  <c r="I176" i="35"/>
  <c r="I177" i="35"/>
  <c r="I178" i="35"/>
  <c r="I179" i="35"/>
  <c r="I180" i="35"/>
  <c r="I181" i="35"/>
  <c r="I182" i="35"/>
  <c r="I171" i="35"/>
  <c r="H172" i="35"/>
  <c r="H173" i="35"/>
  <c r="H174" i="35"/>
  <c r="H175" i="35"/>
  <c r="H176" i="35"/>
  <c r="H177" i="35"/>
  <c r="H178" i="35"/>
  <c r="H179" i="35"/>
  <c r="H180" i="35"/>
  <c r="H181" i="35"/>
  <c r="H182" i="35"/>
  <c r="H171" i="35"/>
  <c r="D24" i="20"/>
  <c r="D51" i="20"/>
  <c r="C33" i="17" l="1"/>
  <c r="D33" i="17" s="1"/>
  <c r="E33" i="17" s="1"/>
  <c r="C34" i="17"/>
  <c r="D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5" i="17"/>
  <c r="E32" i="17"/>
  <c r="E46" i="17" s="1"/>
  <c r="D46" i="17"/>
  <c r="C6" i="32" l="1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F3" i="35" s="1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E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F87" i="35" s="1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C24" i="20" s="1"/>
  <c r="P2" i="18" s="1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R54" i="66" l="1"/>
  <c r="C31" i="17"/>
  <c r="C3" i="32"/>
  <c r="C10" i="17"/>
  <c r="D269" i="38"/>
  <c r="E31" i="17"/>
  <c r="E3" i="32"/>
  <c r="D22" i="17"/>
  <c r="E22" i="17" s="1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C99" i="66" l="1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C310" i="38"/>
  <c r="G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Q176" i="66" l="1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58"/>
  <c r="J81" i="37"/>
  <c r="H118" i="58"/>
  <c r="H118" i="37"/>
  <c r="H93" i="37"/>
  <c r="H93" i="58"/>
  <c r="I116" i="37"/>
  <c r="I116" i="58"/>
  <c r="I99" i="58"/>
  <c r="I99" i="37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115" i="58"/>
  <c r="I8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109" i="58"/>
  <c r="J86" i="58"/>
  <c r="J86" i="37"/>
  <c r="H113" i="37"/>
  <c r="H113" i="58"/>
  <c r="H81" i="58"/>
  <c r="H81" i="37"/>
  <c r="I113" i="37"/>
  <c r="I113" i="58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58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58"/>
  <c r="I110" i="37"/>
  <c r="I93" i="58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I117" i="58"/>
  <c r="J108" i="37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E188" i="38" l="1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E16" i="39" l="1"/>
  <c r="J249" i="66"/>
  <c r="J201" i="66"/>
  <c r="D16" i="39"/>
  <c r="B7" i="39"/>
  <c r="H456" i="37" s="1"/>
  <c r="H406" i="41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H454" i="37"/>
  <c r="H454" i="58"/>
  <c r="E369" i="38" s="1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P249" i="66" l="1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E351" i="38"/>
  <c r="K27" i="66" s="1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J140" i="66"/>
  <c r="N140" i="66" s="1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G15" i="39" l="1"/>
  <c r="F15" i="39"/>
  <c r="J153" i="66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F44" i="66"/>
  <c r="F188" i="66"/>
  <c r="P25" i="9" a="1"/>
  <c r="P25" i="9" s="1"/>
  <c r="P5" i="9" s="1"/>
  <c r="Q27" i="9" a="1"/>
  <c r="Q27" i="9" s="1"/>
  <c r="E30" i="26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4" i="26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E24" i="17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E26" i="17" s="1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E27" i="17" s="1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E25" i="17"/>
  <c r="T11" i="20"/>
  <c r="T15" i="20"/>
  <c r="T13" i="20"/>
  <c r="K15" i="20"/>
  <c r="K6" i="20"/>
  <c r="T16" i="20"/>
  <c r="H19" i="20"/>
  <c r="H10" i="20"/>
  <c r="H15" i="20"/>
  <c r="H14" i="20"/>
  <c r="Q19" i="20"/>
  <c r="O6" i="9"/>
  <c r="D27" i="17" s="1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D25" i="17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D26" i="17" s="1"/>
  <c r="P11" i="20"/>
  <c r="G10" i="20"/>
  <c r="P13" i="20"/>
  <c r="G17" i="20"/>
  <c r="G11" i="20"/>
  <c r="G19" i="20"/>
  <c r="P14" i="20"/>
  <c r="G12" i="20"/>
  <c r="D24" i="17"/>
  <c r="D28" i="17" s="1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Q10" i="9" l="1"/>
  <c r="E28" i="17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E48" i="17" l="1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O20" i="20" s="1"/>
  <c r="F19" i="20"/>
  <c r="G16" i="18" s="1" a="1"/>
  <c r="G16" i="18" s="1"/>
  <c r="I19" i="20"/>
  <c r="R19" i="20"/>
  <c r="F18" i="20"/>
  <c r="O18" i="20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15" i="35" a="1"/>
  <c r="H15" i="35" s="1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H6" i="35" a="1"/>
  <c r="H6" i="35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H48" i="35" l="1" a="1"/>
  <c r="H48" i="35" s="1"/>
  <c r="I288" i="18"/>
  <c r="J288" i="18" s="1"/>
  <c r="G58" i="18" a="1"/>
  <c r="G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18" i="18"/>
  <c r="J1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I71" i="18"/>
  <c r="J71" i="18" s="1"/>
  <c r="I25" i="18"/>
  <c r="J25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J328" i="18"/>
  <c r="F323" i="18"/>
  <c r="H58" i="18"/>
  <c r="I58" i="18"/>
  <c r="J335" i="18"/>
  <c r="F335" i="18"/>
  <c r="F280" i="18"/>
  <c r="F279" i="18"/>
  <c r="F288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H59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I27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60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F277" i="18" l="1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17" i="18"/>
  <c r="F332" i="18"/>
  <c r="J332" i="18"/>
  <c r="J291" i="18"/>
  <c r="F291" i="18"/>
  <c r="F64" i="18"/>
  <c r="J64" i="18"/>
  <c r="J27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J24" i="18" l="1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35" i="37"/>
  <c r="I35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G12" i="39" s="1"/>
  <c r="E265" i="38"/>
  <c r="G285" i="66" s="1"/>
  <c r="E238" i="38"/>
  <c r="J67" i="37"/>
  <c r="J43" i="37"/>
  <c r="J19" i="58"/>
  <c r="J19" i="37"/>
  <c r="I55" i="37"/>
  <c r="I31" i="37"/>
  <c r="H163" i="58"/>
  <c r="H163" i="37"/>
  <c r="H71" i="58"/>
  <c r="H59" i="37"/>
  <c r="H47" i="58"/>
  <c r="H47" i="37"/>
  <c r="H35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37"/>
  <c r="H19" i="58"/>
  <c r="H19" i="37"/>
  <c r="H162" i="58"/>
  <c r="H162" i="37"/>
  <c r="I54" i="58"/>
  <c r="I42" i="37"/>
  <c r="H45" i="58"/>
  <c r="H45" i="37"/>
  <c r="H21" i="37"/>
  <c r="J71" i="58"/>
  <c r="J71" i="37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61" i="58"/>
  <c r="J37" i="58"/>
  <c r="I49" i="37"/>
  <c r="I65" i="58"/>
  <c r="I65" i="37"/>
  <c r="I53" i="58"/>
  <c r="I53" i="37"/>
  <c r="I29" i="58"/>
  <c r="I29" i="37"/>
  <c r="I17" i="58"/>
  <c r="J5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J46" i="58"/>
  <c r="I58" i="37"/>
  <c r="I58" i="58"/>
  <c r="H58" i="37"/>
  <c r="H58" i="58"/>
  <c r="H22" i="37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I70" i="58"/>
  <c r="I22" i="58"/>
  <c r="H40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30" i="37"/>
  <c r="H18" i="37"/>
  <c r="H18" i="58"/>
  <c r="J65" i="58"/>
  <c r="J65" i="37"/>
  <c r="J47" i="37"/>
  <c r="J47" i="58"/>
  <c r="J42" i="37"/>
  <c r="J26" i="58"/>
  <c r="J26" i="37"/>
  <c r="J24" i="58"/>
  <c r="J21" i="37"/>
  <c r="J21" i="58"/>
  <c r="J18" i="58"/>
  <c r="J18" i="37"/>
  <c r="J15" i="37"/>
  <c r="J15" i="58"/>
  <c r="I66" i="58" l="1"/>
  <c r="J34" i="37"/>
  <c r="H69" i="58"/>
  <c r="H40" i="37"/>
  <c r="J73" i="37"/>
  <c r="J67" i="58"/>
  <c r="I70" i="37"/>
  <c r="G13" i="39"/>
  <c r="G16" i="39"/>
  <c r="H64" i="37"/>
  <c r="H73" i="58"/>
  <c r="H33" i="37"/>
  <c r="H31" i="58"/>
  <c r="I46" i="58"/>
  <c r="I25" i="37"/>
  <c r="J38" i="37"/>
  <c r="J54" i="37"/>
  <c r="J23" i="37"/>
  <c r="I45" i="37"/>
  <c r="J22" i="37"/>
  <c r="I17" i="37"/>
  <c r="I31" i="58"/>
  <c r="I22" i="37"/>
  <c r="I22" i="41" s="1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J23" i="41" s="1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25" i="41" s="1"/>
  <c r="I18" i="37"/>
  <c r="I18" i="41" s="1"/>
  <c r="J40" i="58"/>
  <c r="I55" i="58"/>
  <c r="I55" i="41" s="1"/>
  <c r="H62" i="58"/>
  <c r="I71" i="37"/>
  <c r="I71" i="41" s="1"/>
  <c r="J52" i="58"/>
  <c r="J35" i="37"/>
  <c r="I30" i="58"/>
  <c r="I30" i="41" s="1"/>
  <c r="I69" i="37"/>
  <c r="I69" i="41" s="1"/>
  <c r="J62" i="37"/>
  <c r="H71" i="37"/>
  <c r="H71" i="41" s="1"/>
  <c r="H17" i="37"/>
  <c r="H17" i="41" s="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J34" i="41"/>
  <c r="H450" i="41"/>
  <c r="J67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I66" i="41" s="1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H40" i="41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H31" i="4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G27" i="39" l="1"/>
  <c r="H33" i="41"/>
  <c r="N59" i="66"/>
  <c r="H28" i="41"/>
  <c r="H6" i="6"/>
  <c r="G28" i="39"/>
  <c r="O201" i="66"/>
  <c r="N93" i="66"/>
  <c r="H7" i="6"/>
  <c r="M65" i="66"/>
  <c r="M209" i="66"/>
  <c r="M169" i="66"/>
  <c r="M25" i="66"/>
  <c r="G70" i="66"/>
  <c r="Q153" i="66"/>
  <c r="I424" i="41"/>
  <c r="J55" i="41"/>
  <c r="O203" i="66"/>
  <c r="G73" i="66"/>
  <c r="I418" i="58"/>
  <c r="G217" i="66"/>
  <c r="J419" i="41"/>
  <c r="Q155" i="66"/>
  <c r="Q171" i="66"/>
  <c r="Q27" i="66"/>
  <c r="Q11" i="66"/>
  <c r="Q9" i="66"/>
  <c r="Q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O237" i="66" l="1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N202" i="66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N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N58" i="66" s="1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Q237" i="66" l="1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H29" i="53"/>
  <c r="G29" i="53" s="1"/>
  <c r="G35" i="53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Y52" i="66" l="1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S256" i="66"/>
  <c r="Z183" i="66"/>
  <c r="Y39" i="66"/>
  <c r="Y183" i="66"/>
  <c r="Z39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R160" i="66"/>
  <c r="S160" i="66"/>
  <c r="P160" i="66"/>
  <c r="N208" i="66"/>
  <c r="P265" i="66"/>
  <c r="S265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H433" i="41" l="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308" i="38" s="1"/>
  <c r="E415" i="38"/>
  <c r="L276" i="66" s="1"/>
  <c r="P276" i="66" s="1"/>
  <c r="P269" i="66"/>
  <c r="S269" i="66"/>
  <c r="H435" i="41"/>
  <c r="P173" i="66"/>
  <c r="S173" i="66"/>
  <c r="P121" i="66"/>
  <c r="E413" i="38"/>
  <c r="S121" i="66"/>
  <c r="C38" i="63"/>
  <c r="C29" i="63"/>
  <c r="E321" i="38"/>
  <c r="M232" i="66" s="1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E320" i="38" s="1"/>
  <c r="M211" i="66" s="1"/>
  <c r="Z160" i="66"/>
  <c r="Y281" i="66"/>
  <c r="Q160" i="66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P73" i="66"/>
  <c r="N73" i="66"/>
  <c r="O221" i="66"/>
  <c r="L275" i="66"/>
  <c r="P275" i="66" s="1"/>
  <c r="E407" i="38"/>
  <c r="F84" i="66"/>
  <c r="I474" i="41"/>
  <c r="L97" i="66"/>
  <c r="O16" i="66"/>
  <c r="F131" i="66"/>
  <c r="E408" i="38"/>
  <c r="J475" i="41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S259" i="66"/>
  <c r="G8" i="53"/>
  <c r="E405" i="38"/>
  <c r="F36" i="66"/>
  <c r="H474" i="41"/>
  <c r="N89" i="66"/>
  <c r="S89" i="66"/>
  <c r="P89" i="66"/>
  <c r="E339" i="38"/>
  <c r="E345" i="38"/>
  <c r="M280" i="66" s="1"/>
  <c r="Z16" i="66"/>
  <c r="L274" i="66"/>
  <c r="E303" i="38"/>
  <c r="E309" i="38"/>
  <c r="O248" i="66"/>
  <c r="S115" i="66"/>
  <c r="P193" i="66"/>
  <c r="R193" i="66"/>
  <c r="T193" i="66" s="1"/>
  <c r="N193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L241" i="66"/>
  <c r="Y160" i="66"/>
  <c r="H32" i="53"/>
  <c r="G32" i="53" s="1"/>
  <c r="G26" i="53"/>
  <c r="L178" i="66"/>
  <c r="M34" i="66"/>
  <c r="B19" i="8"/>
  <c r="S211" i="66"/>
  <c r="L232" i="66"/>
  <c r="C10" i="63"/>
  <c r="H473" i="41"/>
  <c r="C2" i="63"/>
  <c r="P226" i="66"/>
  <c r="N226" i="66"/>
  <c r="Q281" i="66"/>
  <c r="R281" i="66" s="1"/>
  <c r="T281" i="66" s="1"/>
  <c r="M130" i="66"/>
  <c r="D19" i="8"/>
  <c r="L180" i="66"/>
  <c r="N180" i="66" s="1"/>
  <c r="J29" i="39"/>
  <c r="J433" i="41"/>
  <c r="L289" i="66"/>
  <c r="P25" i="66"/>
  <c r="R25" i="66"/>
  <c r="S25" i="66"/>
  <c r="N25" i="66"/>
  <c r="E327" i="38"/>
  <c r="E333" i="38"/>
  <c r="P49" i="66"/>
  <c r="R49" i="66"/>
  <c r="T49" i="66" s="1"/>
  <c r="N49" i="66"/>
  <c r="E404" i="38"/>
  <c r="F35" i="66"/>
  <c r="L130" i="66"/>
  <c r="L29" i="39"/>
  <c r="E279" i="38"/>
  <c r="E285" i="38"/>
  <c r="Z137" i="66"/>
  <c r="Z56" i="66"/>
  <c r="Z200" i="66"/>
  <c r="O56" i="66"/>
  <c r="Y56" i="66"/>
  <c r="Y200" i="66"/>
  <c r="E302" i="38" l="1"/>
  <c r="Y125" i="66"/>
  <c r="Z121" i="66"/>
  <c r="O121" i="66"/>
  <c r="Q121" i="66" s="1"/>
  <c r="R121" i="66" s="1"/>
  <c r="Y121" i="66"/>
  <c r="Z265" i="66"/>
  <c r="Y265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E314" i="38"/>
  <c r="L228" i="66"/>
  <c r="P228" i="66" s="1"/>
  <c r="Q41" i="66"/>
  <c r="Z256" i="66"/>
  <c r="Z112" i="66"/>
  <c r="T121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O193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M19" i="66"/>
  <c r="R34" i="66"/>
  <c r="T34" i="66" s="1"/>
  <c r="P34" i="66"/>
  <c r="N34" i="66"/>
  <c r="M40" i="66"/>
  <c r="B18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P97" i="66"/>
  <c r="N97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L67" i="66"/>
  <c r="L136" i="66"/>
  <c r="P289" i="66"/>
  <c r="N289" i="66"/>
  <c r="P274" i="66"/>
  <c r="N274" i="66"/>
  <c r="E296" i="38"/>
  <c r="M163" i="66" s="1"/>
  <c r="E290" i="38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N228" i="66" l="1"/>
  <c r="Q217" i="66"/>
  <c r="R217" i="66" s="1"/>
  <c r="T217" i="66" s="1"/>
  <c r="O274" i="66"/>
  <c r="Q274" i="66" s="1"/>
  <c r="R274" i="66" s="1"/>
  <c r="T274" i="66" s="1"/>
  <c r="L211" i="66"/>
  <c r="P211" i="66" s="1"/>
  <c r="O289" i="66"/>
  <c r="O178" i="66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O228" i="66" s="1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7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Q49" i="66"/>
  <c r="N19" i="66"/>
  <c r="P19" i="66"/>
  <c r="R19" i="66"/>
  <c r="T19" i="66" s="1"/>
  <c r="N211" i="66" l="1"/>
  <c r="Q289" i="66"/>
  <c r="R289" i="66" s="1"/>
  <c r="T289" i="66" s="1"/>
  <c r="O211" i="66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Q241" i="66"/>
  <c r="R241" i="66" s="1"/>
  <c r="T241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45" i="66"/>
  <c r="R145" i="66" s="1"/>
  <c r="T145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U184" i="66" l="1"/>
  <c r="Q211" i="66"/>
  <c r="R211" i="66" s="1"/>
  <c r="T211" i="66" s="1"/>
  <c r="Y19" i="66"/>
  <c r="O259" i="66"/>
  <c r="Q163" i="66"/>
  <c r="Q67" i="66"/>
  <c r="R67" i="66" s="1"/>
  <c r="T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M46" i="39"/>
  <c r="E176" i="38" s="1"/>
  <c r="F166" i="66"/>
  <c r="J6" i="41"/>
  <c r="E46" i="39" s="1"/>
  <c r="E125" i="38" s="1"/>
  <c r="F118" i="66"/>
  <c r="G19" i="39" l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S214" i="66"/>
  <c r="P262" i="66"/>
  <c r="S262" i="66"/>
  <c r="H460" i="37"/>
  <c r="H460" i="58"/>
  <c r="I460" i="58"/>
  <c r="I460" i="37"/>
  <c r="J5" i="58"/>
  <c r="J5" i="37"/>
  <c r="H5" i="37"/>
  <c r="H5" i="58"/>
  <c r="N262" i="66"/>
  <c r="O262" i="66" s="1"/>
  <c r="R166" i="66"/>
  <c r="S166" i="66"/>
  <c r="P166" i="66"/>
  <c r="S22" i="66"/>
  <c r="R22" i="66"/>
  <c r="P22" i="66"/>
  <c r="I5" i="37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J460" i="41" l="1"/>
  <c r="I460" i="41"/>
  <c r="T166" i="66"/>
  <c r="I461" i="41"/>
  <c r="H460" i="41"/>
  <c r="Q262" i="66"/>
  <c r="R262" i="66" s="1"/>
  <c r="T262" i="66" s="1"/>
  <c r="Q214" i="66"/>
  <c r="R214" i="66" s="1"/>
  <c r="T214" i="66" s="1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Q22" i="66"/>
  <c r="Y118" i="66"/>
  <c r="H462" i="37"/>
  <c r="H462" i="58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Q118" i="66"/>
  <c r="R118" i="66" s="1"/>
  <c r="T118" i="66" s="1"/>
  <c r="H459" i="41"/>
  <c r="H462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V193" i="66"/>
  <c r="V49" i="66"/>
  <c r="U193" i="66"/>
  <c r="U49" i="66"/>
  <c r="V289" i="66"/>
  <c r="U241" i="66"/>
  <c r="V97" i="66"/>
  <c r="V241" i="66"/>
  <c r="X241" i="66" s="1"/>
  <c r="U97" i="66"/>
  <c r="V145" i="66"/>
  <c r="U289" i="66"/>
  <c r="U145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X89" i="66" s="1"/>
  <c r="V233" i="66"/>
  <c r="U89" i="66"/>
  <c r="U233" i="66"/>
  <c r="W208" i="66"/>
  <c r="W16" i="66"/>
  <c r="W160" i="66"/>
  <c r="W256" i="66"/>
  <c r="W64" i="66"/>
  <c r="V16" i="66"/>
  <c r="W112" i="66"/>
  <c r="V160" i="66"/>
  <c r="X160" i="66" s="1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X255" i="66" s="1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X39" i="66" s="1"/>
  <c r="W39" i="66"/>
  <c r="V279" i="66"/>
  <c r="W183" i="66"/>
  <c r="U231" i="66"/>
  <c r="U87" i="66"/>
  <c r="U279" i="66"/>
  <c r="V231" i="66"/>
  <c r="X231" i="66" s="1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X226" i="66" s="1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X107" i="66" s="1"/>
  <c r="W265" i="66"/>
  <c r="W169" i="66"/>
  <c r="W217" i="66"/>
  <c r="W25" i="66"/>
  <c r="V169" i="66"/>
  <c r="W73" i="66"/>
  <c r="W121" i="66"/>
  <c r="U265" i="66"/>
  <c r="V265" i="66"/>
  <c r="X265" i="66" s="1"/>
  <c r="V25" i="66"/>
  <c r="V217" i="66"/>
  <c r="X217" i="66" s="1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X105" i="66" s="1"/>
  <c r="W79" i="66"/>
  <c r="W223" i="66"/>
  <c r="W31" i="66"/>
  <c r="W271" i="66"/>
  <c r="W127" i="66"/>
  <c r="V31" i="66"/>
  <c r="X31" i="66" s="1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X104" i="66" s="1"/>
  <c r="W221" i="66"/>
  <c r="W77" i="66"/>
  <c r="W29" i="66"/>
  <c r="V29" i="66"/>
  <c r="X29" i="66" s="1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X123" i="66" s="1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X196" i="66" s="1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X287" i="66" s="1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X22" i="66" s="1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X285" i="66" s="1"/>
  <c r="W164" i="66"/>
  <c r="W260" i="66"/>
  <c r="W212" i="66"/>
  <c r="W68" i="66"/>
  <c r="W116" i="66"/>
  <c r="W20" i="66"/>
  <c r="V20" i="66"/>
  <c r="U260" i="66"/>
  <c r="V164" i="66"/>
  <c r="V260" i="66"/>
  <c r="X260" i="66" s="1"/>
  <c r="V116" i="66"/>
  <c r="U116" i="66"/>
  <c r="V212" i="66"/>
  <c r="U164" i="66"/>
  <c r="U68" i="66"/>
  <c r="U20" i="66"/>
  <c r="V68" i="66"/>
  <c r="X68" i="66" s="1"/>
  <c r="U212" i="66"/>
  <c r="W140" i="66"/>
  <c r="W92" i="66"/>
  <c r="W284" i="66"/>
  <c r="W236" i="66"/>
  <c r="U236" i="66"/>
  <c r="V236" i="66"/>
  <c r="X236" i="66" s="1"/>
  <c r="U92" i="66"/>
  <c r="V92" i="66"/>
  <c r="U140" i="66"/>
  <c r="V140" i="66"/>
  <c r="V284" i="66"/>
  <c r="X284" i="66" s="1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X211" i="66" s="1"/>
  <c r="U163" i="66"/>
  <c r="U67" i="66"/>
  <c r="V67" i="66"/>
  <c r="V259" i="66"/>
  <c r="V115" i="66"/>
  <c r="U259" i="66"/>
  <c r="U115" i="66"/>
  <c r="U19" i="66"/>
  <c r="X127" i="66" l="1"/>
  <c r="X278" i="66"/>
  <c r="X289" i="66"/>
  <c r="X125" i="66"/>
  <c r="X27" i="66"/>
  <c r="X118" i="66"/>
  <c r="X120" i="66"/>
  <c r="X52" i="66"/>
  <c r="X82" i="66"/>
  <c r="X256" i="66"/>
  <c r="X271" i="66"/>
  <c r="X230" i="66"/>
  <c r="X49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93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145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X97" i="66"/>
  <c r="I4" i="37" l="1"/>
  <c r="I4" i="58"/>
  <c r="J4" i="37"/>
  <c r="J4" i="58"/>
  <c r="H4" i="58" l="1"/>
  <c r="H4" i="37"/>
  <c r="O4" i="58"/>
  <c r="F245" i="66"/>
  <c r="E37" i="53"/>
  <c r="M45" i="39"/>
  <c r="F101" i="66"/>
  <c r="E31" i="53"/>
  <c r="J4" i="41"/>
  <c r="E45" i="39" s="1"/>
  <c r="E25" i="53"/>
  <c r="N4" i="58"/>
  <c r="F197" i="66"/>
  <c r="F53" i="66"/>
  <c r="E19" i="53"/>
  <c r="I4" i="41"/>
  <c r="D45" i="39" s="1"/>
  <c r="L45" i="39" l="1"/>
  <c r="L59" i="39" s="1"/>
  <c r="L60" i="39" s="1"/>
  <c r="E59" i="39"/>
  <c r="E60" i="39" s="1"/>
  <c r="E124" i="38"/>
  <c r="E56" i="39"/>
  <c r="D59" i="39"/>
  <c r="D60" i="39" s="1"/>
  <c r="D56" i="39"/>
  <c r="E107" i="38"/>
  <c r="M56" i="39"/>
  <c r="E175" i="38"/>
  <c r="M59" i="39"/>
  <c r="M60" i="39" s="1"/>
  <c r="E7" i="53"/>
  <c r="H4" i="41"/>
  <c r="K45" i="39" s="1"/>
  <c r="F5" i="66"/>
  <c r="M4" i="58"/>
  <c r="E13" i="53"/>
  <c r="F149" i="66"/>
  <c r="C45" i="39" l="1"/>
  <c r="C59" i="39" s="1"/>
  <c r="C60" i="39" s="1"/>
  <c r="E158" i="38"/>
  <c r="J197" i="66" s="1"/>
  <c r="L56" i="39"/>
  <c r="L57" i="39" s="1"/>
  <c r="M57" i="39"/>
  <c r="M58" i="39"/>
  <c r="D25" i="53"/>
  <c r="F25" i="53" s="1"/>
  <c r="I444" i="58"/>
  <c r="I452" i="37"/>
  <c r="I444" i="37"/>
  <c r="J53" i="66"/>
  <c r="D19" i="53"/>
  <c r="F19" i="53" s="1"/>
  <c r="H25" i="53" s="1"/>
  <c r="D57" i="39"/>
  <c r="D58" i="39"/>
  <c r="J444" i="58"/>
  <c r="D37" i="53"/>
  <c r="F37" i="53" s="1"/>
  <c r="J452" i="58"/>
  <c r="J245" i="66"/>
  <c r="E58" i="39"/>
  <c r="E57" i="39"/>
  <c r="J101" i="66"/>
  <c r="J452" i="37"/>
  <c r="J444" i="37"/>
  <c r="D31" i="53"/>
  <c r="F31" i="53" s="1"/>
  <c r="H37" i="53" s="1"/>
  <c r="K59" i="39"/>
  <c r="K60" i="39" s="1"/>
  <c r="E141" i="38"/>
  <c r="K56" i="39"/>
  <c r="C56" i="39" l="1"/>
  <c r="C58" i="39" s="1"/>
  <c r="E90" i="38"/>
  <c r="L58" i="39"/>
  <c r="I452" i="58"/>
  <c r="I457" i="58" s="1"/>
  <c r="F246" i="66"/>
  <c r="J467" i="58"/>
  <c r="H452" i="37"/>
  <c r="H444" i="37"/>
  <c r="J5" i="66"/>
  <c r="D7" i="53"/>
  <c r="F7" i="53" s="1"/>
  <c r="F102" i="66"/>
  <c r="J467" i="37"/>
  <c r="J444" i="41"/>
  <c r="D13" i="53"/>
  <c r="F13" i="53" s="1"/>
  <c r="H7" i="53" s="1"/>
  <c r="H452" i="58"/>
  <c r="J149" i="66"/>
  <c r="H444" i="58"/>
  <c r="W53" i="66"/>
  <c r="S53" i="66"/>
  <c r="S245" i="66"/>
  <c r="W245" i="66"/>
  <c r="F54" i="66"/>
  <c r="I467" i="37"/>
  <c r="I444" i="41"/>
  <c r="K58" i="39"/>
  <c r="K57" i="39"/>
  <c r="I457" i="37"/>
  <c r="F55" i="66"/>
  <c r="F198" i="66"/>
  <c r="I467" i="58"/>
  <c r="G37" i="53"/>
  <c r="H31" i="53"/>
  <c r="G31" i="53" s="1"/>
  <c r="S197" i="66"/>
  <c r="W197" i="66"/>
  <c r="H19" i="53"/>
  <c r="G19" i="53" s="1"/>
  <c r="G25" i="53"/>
  <c r="F247" i="66"/>
  <c r="J457" i="58"/>
  <c r="J452" i="41"/>
  <c r="F103" i="66"/>
  <c r="J457" i="37"/>
  <c r="W101" i="66"/>
  <c r="S101" i="66"/>
  <c r="C57" i="39" l="1"/>
  <c r="I452" i="41"/>
  <c r="F199" i="66"/>
  <c r="J467" i="41"/>
  <c r="O3" i="41" s="1"/>
  <c r="I467" i="41"/>
  <c r="L54" i="66"/>
  <c r="P54" i="66" s="1"/>
  <c r="E378" i="38"/>
  <c r="K199" i="66" s="1"/>
  <c r="N199" i="66" s="1"/>
  <c r="I458" i="58"/>
  <c r="E379" i="38" s="1"/>
  <c r="K218" i="66" s="1"/>
  <c r="N218" i="66" s="1"/>
  <c r="E337" i="38"/>
  <c r="E331" i="38"/>
  <c r="J457" i="41"/>
  <c r="J458" i="37"/>
  <c r="E366" i="38"/>
  <c r="K103" i="66" s="1"/>
  <c r="N103" i="66" s="1"/>
  <c r="E349" i="38"/>
  <c r="M245" i="66" s="1"/>
  <c r="E343" i="38"/>
  <c r="J458" i="58"/>
  <c r="E385" i="38" s="1"/>
  <c r="K266" i="66" s="1"/>
  <c r="N266" i="66" s="1"/>
  <c r="E384" i="38"/>
  <c r="K247" i="66" s="1"/>
  <c r="N247" i="66" s="1"/>
  <c r="E325" i="38"/>
  <c r="M197" i="66" s="1"/>
  <c r="E319" i="38"/>
  <c r="L102" i="66"/>
  <c r="P102" i="66" s="1"/>
  <c r="G7" i="53"/>
  <c r="H13" i="53"/>
  <c r="G13" i="53" s="1"/>
  <c r="L198" i="66"/>
  <c r="P198" i="66" s="1"/>
  <c r="W5" i="66"/>
  <c r="S5" i="66"/>
  <c r="E307" i="38"/>
  <c r="E313" i="38"/>
  <c r="I457" i="41"/>
  <c r="E360" i="38"/>
  <c r="K55" i="66" s="1"/>
  <c r="N55" i="66" s="1"/>
  <c r="I458" i="37"/>
  <c r="F6" i="66"/>
  <c r="H467" i="37"/>
  <c r="H444" i="41"/>
  <c r="H452" i="41"/>
  <c r="F7" i="66"/>
  <c r="H457" i="37"/>
  <c r="H467" i="58"/>
  <c r="F150" i="66"/>
  <c r="S149" i="66"/>
  <c r="W149" i="66"/>
  <c r="F151" i="66"/>
  <c r="H457" i="58"/>
  <c r="L246" i="66"/>
  <c r="P246" i="66" s="1"/>
  <c r="N198" i="66" l="1"/>
  <c r="N54" i="66"/>
  <c r="H467" i="41"/>
  <c r="M3" i="41" s="1"/>
  <c r="N246" i="66"/>
  <c r="L245" i="66"/>
  <c r="J464" i="58"/>
  <c r="M53" i="66"/>
  <c r="F18" i="39" s="1"/>
  <c r="C22" i="8"/>
  <c r="H458" i="37"/>
  <c r="H457" i="41"/>
  <c r="E354" i="38"/>
  <c r="K7" i="66" s="1"/>
  <c r="N7" i="66" s="1"/>
  <c r="Z103" i="66"/>
  <c r="Y247" i="66"/>
  <c r="Z247" i="66"/>
  <c r="Y103" i="66"/>
  <c r="J458" i="41"/>
  <c r="E367" i="38"/>
  <c r="K122" i="66" s="1"/>
  <c r="N122" i="66" s="1"/>
  <c r="E361" i="38"/>
  <c r="K74" i="66" s="1"/>
  <c r="N74" i="66" s="1"/>
  <c r="I458" i="41"/>
  <c r="E301" i="38"/>
  <c r="M149" i="66" s="1"/>
  <c r="E295" i="38"/>
  <c r="Y199" i="66"/>
  <c r="Y55" i="66"/>
  <c r="Z199" i="66"/>
  <c r="Z55" i="66"/>
  <c r="E289" i="38"/>
  <c r="E283" i="38"/>
  <c r="J464" i="37"/>
  <c r="L101" i="66"/>
  <c r="E372" i="38"/>
  <c r="K151" i="66" s="1"/>
  <c r="N151" i="66" s="1"/>
  <c r="H458" i="58"/>
  <c r="E373" i="38" s="1"/>
  <c r="K170" i="66" s="1"/>
  <c r="N170" i="66" s="1"/>
  <c r="L6" i="66"/>
  <c r="P6" i="66" s="1"/>
  <c r="V6" i="66" s="1"/>
  <c r="X6" i="66" s="1"/>
  <c r="N102" i="66"/>
  <c r="D22" i="8"/>
  <c r="M101" i="66"/>
  <c r="G18" i="39" s="1"/>
  <c r="L150" i="66"/>
  <c r="P150" i="66" s="1"/>
  <c r="V150" i="66" s="1"/>
  <c r="X150" i="66" s="1"/>
  <c r="L53" i="66"/>
  <c r="I464" i="37"/>
  <c r="L197" i="66"/>
  <c r="I464" i="58"/>
  <c r="Y198" i="66" l="1"/>
  <c r="O198" i="66"/>
  <c r="V198" i="66" s="1"/>
  <c r="X198" i="66" s="1"/>
  <c r="Y54" i="66"/>
  <c r="O54" i="66"/>
  <c r="V54" i="66" s="1"/>
  <c r="X54" i="66" s="1"/>
  <c r="Z54" i="66"/>
  <c r="Z198" i="66"/>
  <c r="Z7" i="66"/>
  <c r="Y7" i="66"/>
  <c r="Y151" i="66"/>
  <c r="Z151" i="66"/>
  <c r="O102" i="66"/>
  <c r="Y246" i="66"/>
  <c r="Z102" i="66"/>
  <c r="Z246" i="66"/>
  <c r="Y102" i="66"/>
  <c r="N6" i="66"/>
  <c r="H464" i="58"/>
  <c r="L149" i="66"/>
  <c r="H458" i="41"/>
  <c r="E355" i="38"/>
  <c r="K26" i="66" s="1"/>
  <c r="N26" i="66" s="1"/>
  <c r="Y218" i="66"/>
  <c r="Y74" i="66"/>
  <c r="Z74" i="66"/>
  <c r="Z218" i="66"/>
  <c r="P101" i="66"/>
  <c r="N101" i="66"/>
  <c r="N245" i="66"/>
  <c r="P245" i="66"/>
  <c r="Z122" i="66"/>
  <c r="Y266" i="66"/>
  <c r="Y122" i="66"/>
  <c r="Z266" i="66"/>
  <c r="J464" i="41"/>
  <c r="O246" i="66"/>
  <c r="I464" i="41"/>
  <c r="H464" i="37"/>
  <c r="L5" i="66"/>
  <c r="P53" i="66"/>
  <c r="N53" i="66"/>
  <c r="N150" i="66"/>
  <c r="O150" i="66" s="1"/>
  <c r="B22" i="8"/>
  <c r="M5" i="66"/>
  <c r="P197" i="66"/>
  <c r="N197" i="66"/>
  <c r="U198" i="66" l="1"/>
  <c r="Q198" i="66"/>
  <c r="O197" i="66"/>
  <c r="Q197" i="66" s="1"/>
  <c r="R197" i="66" s="1"/>
  <c r="T197" i="66" s="1"/>
  <c r="Q54" i="66"/>
  <c r="U54" i="66"/>
  <c r="H464" i="41"/>
  <c r="O245" i="66"/>
  <c r="V245" i="66" s="1"/>
  <c r="X245" i="66" s="1"/>
  <c r="Z53" i="66"/>
  <c r="Y53" i="66"/>
  <c r="Z197" i="66"/>
  <c r="O53" i="66"/>
  <c r="Y197" i="66"/>
  <c r="Z101" i="66"/>
  <c r="Y245" i="66"/>
  <c r="O101" i="66"/>
  <c r="Z245" i="66"/>
  <c r="Y101" i="66"/>
  <c r="N5" i="66"/>
  <c r="R5" i="66"/>
  <c r="T5" i="66" s="1"/>
  <c r="P5" i="66"/>
  <c r="V5" i="66" s="1"/>
  <c r="X5" i="66" s="1"/>
  <c r="U102" i="66"/>
  <c r="Q102" i="66"/>
  <c r="V102" i="66"/>
  <c r="X102" i="66" s="1"/>
  <c r="U246" i="66"/>
  <c r="Q246" i="66"/>
  <c r="V246" i="66"/>
  <c r="X246" i="66" s="1"/>
  <c r="Y170" i="66"/>
  <c r="Z170" i="66"/>
  <c r="Y26" i="66"/>
  <c r="Z26" i="66"/>
  <c r="N149" i="66"/>
  <c r="P149" i="66"/>
  <c r="V149" i="66" s="1"/>
  <c r="X149" i="66" s="1"/>
  <c r="R149" i="66"/>
  <c r="T149" i="66" s="1"/>
  <c r="U150" i="66"/>
  <c r="Q150" i="66"/>
  <c r="Y150" i="66"/>
  <c r="Z6" i="66"/>
  <c r="Z150" i="66"/>
  <c r="O6" i="66"/>
  <c r="Y6" i="66"/>
  <c r="V197" i="66" l="1"/>
  <c r="X197" i="66" s="1"/>
  <c r="U197" i="66"/>
  <c r="O149" i="66"/>
  <c r="Q149" i="66" s="1"/>
  <c r="Q245" i="66"/>
  <c r="R245" i="66" s="1"/>
  <c r="T245" i="66" s="1"/>
  <c r="U245" i="66"/>
  <c r="V101" i="66"/>
  <c r="X101" i="66" s="1"/>
  <c r="U101" i="66"/>
  <c r="Q101" i="66"/>
  <c r="R101" i="66" s="1"/>
  <c r="T101" i="66" s="1"/>
  <c r="U53" i="66"/>
  <c r="V53" i="66"/>
  <c r="X53" i="66" s="1"/>
  <c r="Q53" i="66"/>
  <c r="R53" i="66" s="1"/>
  <c r="T53" i="66" s="1"/>
  <c r="U6" i="66"/>
  <c r="Q6" i="66"/>
  <c r="O5" i="66"/>
  <c r="Z5" i="66"/>
  <c r="Z149" i="66"/>
  <c r="Y5" i="66"/>
  <c r="Y149" i="66"/>
  <c r="U149" i="66" l="1"/>
  <c r="U5" i="66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<sst xmlns="http://schemas.openxmlformats.org/spreadsheetml/2006/main" count="4030" uniqueCount="339">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</sst>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992426.54344299308</c:v>
                </c:pt>
                <c:pt idx="17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992426.54344299308</c:v>
                </c:pt>
                <c:pt idx="2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1-42BE-A1A1-3BE3A5456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42184.627494662134</c:v>
                </c:pt>
                <c:pt idx="2">
                  <c:v>115726.15144460165</c:v>
                </c:pt>
                <c:pt idx="3">
                  <c:v>0</c:v>
                </c:pt>
                <c:pt idx="4">
                  <c:v>8858.7341081642226</c:v>
                </c:pt>
                <c:pt idx="5">
                  <c:v>24041.220505714809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215894.74074247692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992426.54344299308</c:v>
                </c:pt>
                <c:pt idx="17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992426.54344299308</c:v>
                </c:pt>
                <c:pt idx="2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E-464B-8225-0220F0894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449073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4953701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5185185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5532408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576388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59953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622685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6342594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620537.39357630478"/>
    <n v="0"/>
    <n v="0"/>
    <n v="-620537.39357630478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97110.0145929947"/>
    <n v="0"/>
    <n v="0"/>
    <n v="-597110.0145929947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71889.1498666883"/>
    <n v="0"/>
    <n v="0"/>
    <n v="-371889.1498666883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62262.716942953"/>
    <n v="0"/>
    <n v="0"/>
    <n v="-362262.716942953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1787127.711510129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392052.52197022288"/>
    <s v="Biogasanlæg"/>
    <x v="5"/>
  </r>
  <r>
    <s v="Vestdanmark"/>
    <x v="1"/>
    <n v="0"/>
    <s v="Pyrolyseproces"/>
    <x v="6"/>
  </r>
  <r>
    <s v="Vestdanmark"/>
    <x v="2"/>
    <n v="10960258.507189341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382169.879865580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891701.6150406413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35371.758577849541"/>
    <s v="Biogasanlæg"/>
    <x v="5"/>
  </r>
  <r>
    <s v="Østdanmark"/>
    <x v="1"/>
    <n v="0"/>
    <s v="Pyrolyseproces"/>
    <x v="6"/>
  </r>
  <r>
    <s v="Østdanmark"/>
    <x v="2"/>
    <n v="1726757.575258615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34349.384744182549"/>
    <s v="Biogasanlæg"/>
    <x v="5"/>
  </r>
  <r>
    <s v="Østdanmark"/>
    <x v="2"/>
    <n v="0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620537.39357630478"/>
    <n v="0"/>
    <n v="0"/>
    <n v="-620537.3935763047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97110.0145929947"/>
    <n v="0"/>
    <n v="0"/>
    <n v="-597110.0145929947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1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71889.1498666883"/>
    <n v="0"/>
    <n v="0"/>
    <n v="-371889.149866688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62262.716942953"/>
    <n v="0"/>
    <n v="0"/>
    <n v="-362262.71694295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1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620537.39357630478"/>
    <n v="0"/>
    <n v="0"/>
    <n v="-620537.39357630478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97110.0145929947"/>
    <n v="0"/>
    <n v="0"/>
    <n v="-597110.0145929947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71889.1498666883"/>
    <n v="0"/>
    <n v="0"/>
    <n v="-371889.149866688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62262.716942953"/>
    <n v="0"/>
    <n v="0"/>
    <n v="-362262.71694295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7085171.5926641021"/>
  </r>
  <r>
    <x v="5"/>
    <s v="Vestdanmark"/>
    <x v="15"/>
    <x v="1"/>
    <n v="2064375.9771023891"/>
  </r>
  <r>
    <x v="5"/>
    <s v="Vestdanmark"/>
    <x v="16"/>
    <x v="1"/>
    <n v="3158.317751313647"/>
  </r>
  <r>
    <x v="5"/>
    <s v="Vestdanmark"/>
    <x v="20"/>
    <x v="1"/>
    <n v="502160.95849399589"/>
  </r>
  <r>
    <x v="5"/>
    <s v="Vestdanmark"/>
    <x v="37"/>
    <x v="1"/>
    <n v="17711207.128625918"/>
  </r>
  <r>
    <x v="5"/>
    <s v="Vestdanmark"/>
    <x v="38"/>
    <x v="1"/>
    <n v="620537.39357630478"/>
  </r>
  <r>
    <x v="5"/>
    <s v="Vestdanmark"/>
    <x v="14"/>
    <x v="2"/>
    <n v="6783177.1307623936"/>
  </r>
  <r>
    <x v="5"/>
    <s v="Vestdanmark"/>
    <x v="15"/>
    <x v="2"/>
    <n v="2024929.6339054219"/>
  </r>
  <r>
    <x v="5"/>
    <s v="Vestdanmark"/>
    <x v="16"/>
    <x v="2"/>
    <n v="3261.5941520826309"/>
  </r>
  <r>
    <x v="5"/>
    <s v="Vestdanmark"/>
    <x v="20"/>
    <x v="2"/>
    <n v="525831.49845533748"/>
  </r>
  <r>
    <x v="5"/>
    <s v="Vestdanmark"/>
    <x v="37"/>
    <x v="2"/>
    <n v="17222483.674164686"/>
  </r>
  <r>
    <x v="5"/>
    <s v="Vestdanmark"/>
    <x v="38"/>
    <x v="2"/>
    <n v="597110.0145929947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1026620.9238801375"/>
  </r>
  <r>
    <x v="5"/>
    <s v="Østdanmark"/>
    <x v="15"/>
    <x v="1"/>
    <n v="146723.47845392721"/>
  </r>
  <r>
    <x v="5"/>
    <s v="Østdanmark"/>
    <x v="16"/>
    <x v="1"/>
    <n v="265.07644309358068"/>
  </r>
  <r>
    <x v="5"/>
    <s v="Østdanmark"/>
    <x v="20"/>
    <x v="1"/>
    <n v="67774.717172805787"/>
  </r>
  <r>
    <x v="5"/>
    <s v="Østdanmark"/>
    <x v="37"/>
    <x v="1"/>
    <n v="3047051.4177026679"/>
  </r>
  <r>
    <x v="5"/>
    <s v="Østdanmark"/>
    <x v="38"/>
    <x v="1"/>
    <n v="371889.1498666883"/>
  </r>
  <r>
    <x v="5"/>
    <s v="Østdanmark"/>
    <x v="14"/>
    <x v="2"/>
    <n v="982862.79756951681"/>
  </r>
  <r>
    <x v="5"/>
    <s v="Østdanmark"/>
    <x v="15"/>
    <x v="2"/>
    <n v="143919.86867046604"/>
  </r>
  <r>
    <x v="5"/>
    <s v="Østdanmark"/>
    <x v="16"/>
    <x v="2"/>
    <n v="273.74439328952366"/>
  </r>
  <r>
    <x v="5"/>
    <s v="Østdanmark"/>
    <x v="20"/>
    <x v="2"/>
    <n v="71371.713113742837"/>
  </r>
  <r>
    <x v="5"/>
    <s v="Østdanmark"/>
    <x v="37"/>
    <x v="2"/>
    <n v="3027912.4262798992"/>
  </r>
  <r>
    <x v="5"/>
    <s v="Østdanmark"/>
    <x v="38"/>
    <x v="2"/>
    <n v="362262.716942953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507790.70515370794"/>
  </r>
  <r>
    <x v="7"/>
    <s v="Vestdanmark"/>
    <x v="39"/>
    <x v="2"/>
    <n v="489039.95714195294"/>
  </r>
  <r>
    <x v="7"/>
    <s v="Østdanmark"/>
    <x v="39"/>
    <x v="0"/>
    <n v="193574.13238370849"/>
  </r>
  <r>
    <x v="7"/>
    <s v="Østdanmark"/>
    <x v="39"/>
    <x v="1"/>
    <n v="204407.79128636757"/>
  </r>
  <r>
    <x v="7"/>
    <s v="Østdanmark"/>
    <x v="39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2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J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0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9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88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9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1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1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0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A4" sqref="A4:B4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7" t="s">
        <v>279</v>
      </c>
      <c r="B1" s="337"/>
      <c r="D1" s="75" t="s">
        <v>292</v>
      </c>
    </row>
    <row r="2" spans="1:6" x14ac:dyDescent="0.25">
      <c r="A2" s="6" t="s">
        <v>0</v>
      </c>
      <c r="B2" s="227" t="s">
        <v>311</v>
      </c>
    </row>
    <row r="4" spans="1:6" ht="30" customHeight="1" thickBot="1" x14ac:dyDescent="0.3">
      <c r="A4" s="336" t="s">
        <v>278</v>
      </c>
      <c r="B4" s="336"/>
      <c r="D4" s="75"/>
    </row>
    <row r="5" spans="1:6" ht="15.75" thickTop="1" x14ac:dyDescent="0.25">
      <c r="A5" s="259" t="s">
        <v>86</v>
      </c>
      <c r="B5" s="258" t="s">
        <v>313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8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8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314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T57" sqref="T5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39" t="s">
        <v>305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25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5" zoomScale="85" zoomScaleNormal="85" workbookViewId="0">
      <selection activeCell="A22" sqref="A22:XFD41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315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f>1900*11</f>
        <v>20900</v>
      </c>
      <c r="D5" s="9">
        <f>C5+1900*(D2-C2)</f>
        <v>58900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E13" sqref="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2" t="s">
        <v>335</v>
      </c>
      <c r="C20" s="25"/>
      <c r="D20" s="25"/>
      <c r="E20" s="25"/>
      <c r="F20" s="12"/>
      <c r="I20" s="1"/>
    </row>
    <row r="21" spans="2:11" ht="29.45" customHeight="1" x14ac:dyDescent="0.25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2" t="str">
        <f>CONCATENATE("Omlægning til permanent græs, ", Organ6,", hektar")</f>
        <v>Omlægning til permanent græs, OC6, hektar</v>
      </c>
      <c r="C24" s="333"/>
      <c r="D24" s="10">
        <f>D22*Arealanvendelse!N26-C22*Arealanvendelse!N26</f>
        <v>0</v>
      </c>
      <c r="E24" s="10">
        <f>E22*Arealanvendelse!Q26-C22*Arealanvendelse!Q26</f>
        <v>0</v>
      </c>
      <c r="F24" s="12"/>
      <c r="I24" s="1"/>
    </row>
    <row r="25" spans="2:11" x14ac:dyDescent="0.25">
      <c r="B25" s="332" t="str">
        <f>CONCATENATE("Omlægning til permanent græs, ", Organ12, ", hektar")</f>
        <v>Omlægning til permanent græs, OC12, hektar</v>
      </c>
      <c r="C25" s="333"/>
      <c r="D25" s="10">
        <f>D23*Arealanvendelse!O26-C23*Arealanvendelse!O26</f>
        <v>0</v>
      </c>
      <c r="E25" s="10">
        <f>E23*Arealanvendelse!R26-C23*Arealanvendelse!R26</f>
        <v>0</v>
      </c>
      <c r="F25" s="12"/>
      <c r="G25" s="118"/>
      <c r="I25" s="1"/>
    </row>
    <row r="26" spans="2:11" x14ac:dyDescent="0.25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7" t="s">
        <v>269</v>
      </c>
      <c r="C28" s="238"/>
      <c r="D28" s="236">
        <f>SUM(D24:D25)</f>
        <v>0</v>
      </c>
      <c r="E28" s="236">
        <f>SUM(E24:E25)</f>
        <v>0</v>
      </c>
      <c r="F28" s="331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0" t="s">
        <v>334</v>
      </c>
      <c r="C30" s="25"/>
      <c r="D30" s="25"/>
      <c r="E30" s="25"/>
      <c r="K30" s="12"/>
    </row>
    <row r="31" spans="2:11" x14ac:dyDescent="0.25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8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8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25">
      <c r="B35" s="2" t="str">
        <f>[1]Afgrødefordeling!$C5</f>
        <v>Græs</v>
      </c>
      <c r="C35" s="328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25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8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25">
      <c r="B39" s="2" t="str">
        <f>[1]Afgrødefordeling!$C9</f>
        <v>Majs</v>
      </c>
      <c r="C39" s="328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25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8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298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246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245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325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326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327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E14" sqref="E14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1</v>
      </c>
      <c r="D13" s="8">
        <v>1</v>
      </c>
    </row>
    <row r="14" spans="1:4" x14ac:dyDescent="0.25">
      <c r="A14" s="2" t="s">
        <v>179</v>
      </c>
      <c r="B14" s="7">
        <v>0</v>
      </c>
      <c r="C14" s="8">
        <v>0</v>
      </c>
      <c r="D14" s="8">
        <v>0</v>
      </c>
    </row>
    <row r="15" spans="1:4" x14ac:dyDescent="0.25">
      <c r="A15" s="2" t="s">
        <v>180</v>
      </c>
      <c r="B15" s="7">
        <v>0</v>
      </c>
      <c r="C15" s="8">
        <v>0</v>
      </c>
      <c r="D15" s="8">
        <v>0</v>
      </c>
    </row>
    <row r="16" spans="1:4" x14ac:dyDescent="0.25">
      <c r="A16" s="2" t="s">
        <v>181</v>
      </c>
      <c r="B16" s="7">
        <v>0</v>
      </c>
      <c r="C16" s="8">
        <v>0</v>
      </c>
      <c r="D16" s="8">
        <v>0</v>
      </c>
    </row>
    <row r="17" spans="1:13" x14ac:dyDescent="0.25">
      <c r="A17" s="2" t="s">
        <v>182</v>
      </c>
      <c r="B17" s="7">
        <v>0</v>
      </c>
      <c r="C17" s="8">
        <v>0</v>
      </c>
      <c r="D17" s="8">
        <v>0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25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38349.661358783756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36770.761974969762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8053.3946437856575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7591.2431987752934</v>
      </c>
    </row>
    <row r="23" spans="1:13" x14ac:dyDescent="0.25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3834.9661358783751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36770.761974969762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805.33946437856571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7591.2431987752934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38349.661358783756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8053.3946437856575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3834.9661358783751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805.33946437856571</v>
      </c>
    </row>
    <row r="26" spans="1:13" x14ac:dyDescent="0.25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0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0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0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0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0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0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0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0</v>
      </c>
    </row>
    <row r="30" spans="1:13" x14ac:dyDescent="0.25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25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8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8" x14ac:dyDescent="0.25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8" x14ac:dyDescent="0.25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8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8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8" x14ac:dyDescent="0.25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8" x14ac:dyDescent="0.25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8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8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8" x14ac:dyDescent="0.25">
      <c r="B42" s="153"/>
    </row>
    <row r="43" spans="1:8" x14ac:dyDescent="0.25">
      <c r="B43" s="153"/>
    </row>
    <row r="44" spans="1:8" x14ac:dyDescent="0.25">
      <c r="B44" s="153"/>
    </row>
    <row r="46" spans="1:8" x14ac:dyDescent="0.25">
      <c r="A46" s="343" t="s">
        <v>297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25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25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25">
      <c r="A49" s="2" t="s">
        <v>178</v>
      </c>
      <c r="B49" s="109">
        <f t="shared" si="0"/>
        <v>0</v>
      </c>
      <c r="C49" s="109">
        <f t="shared" si="0"/>
        <v>42184.627494662134</v>
      </c>
      <c r="D49" s="109">
        <f t="shared" si="0"/>
        <v>115726.15144460165</v>
      </c>
      <c r="E49" s="109">
        <f t="shared" si="0"/>
        <v>0</v>
      </c>
      <c r="F49" s="109">
        <f t="shared" si="0"/>
        <v>8858.7341081642226</v>
      </c>
      <c r="G49" s="109">
        <f t="shared" si="0"/>
        <v>24041.220505714809</v>
      </c>
    </row>
    <row r="50" spans="1:7" x14ac:dyDescent="0.25">
      <c r="A50" s="2" t="s">
        <v>179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</row>
    <row r="51" spans="1:7" x14ac:dyDescent="0.25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</row>
    <row r="52" spans="1:7" x14ac:dyDescent="0.25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</row>
    <row r="53" spans="1:7" x14ac:dyDescent="0.25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5" t="s">
        <v>328</v>
      </c>
      <c r="D2" s="345"/>
      <c r="E2" s="345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329</v>
      </c>
      <c r="G3" s="12" t="s">
        <v>325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330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312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333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215894.74074247692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331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332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324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F10" sqref="F10:G10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336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0.86872264893366935</v>
      </c>
    </row>
    <row r="4" spans="1:29" x14ac:dyDescent="0.2">
      <c r="A4" s="180" t="s">
        <v>137</v>
      </c>
      <c r="B4" s="235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0.5</v>
      </c>
      <c r="D5" s="181">
        <v>0.5</v>
      </c>
      <c r="E5" s="158"/>
      <c r="F5" s="174"/>
      <c r="G5" s="175"/>
      <c r="H5" s="127"/>
      <c r="N5" s="250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0.34536833172797138</v>
      </c>
    </row>
    <row r="6" spans="1:29" x14ac:dyDescent="0.2">
      <c r="A6" s="180" t="s">
        <v>141</v>
      </c>
      <c r="B6" s="235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0.40883754065581773</v>
      </c>
    </row>
    <row r="7" spans="1:29" x14ac:dyDescent="0.2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9" t="s">
        <v>212</v>
      </c>
      <c r="D10" s="349"/>
      <c r="E10" s="349"/>
      <c r="F10" s="348" t="s">
        <v>337</v>
      </c>
      <c r="G10" s="348"/>
      <c r="J10" s="350" t="s">
        <v>213</v>
      </c>
      <c r="K10" s="350"/>
      <c r="L10" s="350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9147340.4973796736</v>
      </c>
      <c r="E12" s="133">
        <f>SUMIFS('Resultater - Danmark'!J$3:J$482,'Resultater - Danmark'!$F$3:$F$482,$A12)*D3</f>
        <v>8757449.2808849216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0.34536833172797138</v>
      </c>
      <c r="M12" s="125" t="s">
        <v>214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10568777.271841515</v>
      </c>
      <c r="E13" s="136">
        <f>SUMIFS('Resultater - Danmark'!J$3:J$482,'Resultater - Danmark'!$F$3:$F$482,$A13)*D4</f>
        <v>10366827.811054559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0.40883754065581773</v>
      </c>
      <c r="M13" s="125" t="s">
        <v>215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4521.4640303491688</v>
      </c>
      <c r="E14" s="136">
        <f>SUMIFS('Resultater - Danmark'!J$3:J$482,'Resultater - Danmark'!$F$3:$F$482,$A14)*D5</f>
        <v>4669.3150599254877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1.8414420693005777E-4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2775329.8009308982</v>
      </c>
      <c r="E15" s="136">
        <f>SUMIFS('Resultater - Danmark'!J$3:J$482,'Resultater - Danmark'!$F$3:$F$482,$A15)*D6</f>
        <v>2890677.9581297943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0.11399993216531935</v>
      </c>
      <c r="M15" s="139" t="s">
        <v>301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1505490.464025514</v>
      </c>
      <c r="E16" s="136">
        <f>SUMIFS('Resultater - Danmark'!J$3:J$482,'Resultater - Danmark'!$F$3:$F$482,$A16)*D7</f>
        <v>1577517.9173522871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6.2212719013531058E-2</v>
      </c>
      <c r="M16" s="248" t="s">
        <v>157</v>
      </c>
      <c r="N16" s="249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4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1.4582929515804097E-2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2.8514279399937982E-2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2.99461613311014E-3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2125486.6888101227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1.4930882977263137E-4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4438214.851569131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3.3788517190781134E-3</v>
      </c>
      <c r="M22" s="165" t="s">
        <v>302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1488865.2333387677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1.3015265677375182E-2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1730280.0978252576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1.1296754962591192E-3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3.0760931648878094E-6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5.6293293659284063E-3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25356839.282481484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0.10265032199911929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1.7673101722485048E-2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609327636.78478932</v>
      </c>
      <c r="E32" s="125">
        <f>SUMPRODUCT(E12:E28,$I$12:$I$28)</f>
        <v>607975871.10291469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21.87486216057394</v>
      </c>
      <c r="E33" s="125">
        <f>E32*[1]Energiindhold!$C$10</f>
        <v>21.826333772594641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7989661.5832169671</v>
      </c>
      <c r="E39" s="133">
        <f>SUMIFS('Resultater - Vestdanmark'!J$3:J$482,'Resultater - Vestdanmark'!$F$3:$F$482,$A39)*D3</f>
        <v>7649114.6368171675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1157678.9141627084</v>
      </c>
      <c r="M39" s="133">
        <f>SUMIFS('Resultater - Østdanmark'!J$3:J$482,'Resultater - Østdanmark'!$F$3:$F$482,$A39)*D3</f>
        <v>1108334.6440677529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9867457.5006151944</v>
      </c>
      <c r="E40" s="136">
        <f>SUMIFS('Resultater - Vestdanmark'!J$3:J$482,'Resultater - Vestdanmark'!$F$3:$F$482,$A40)*D4</f>
        <v>9678908.9419378657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701319.77122631879</v>
      </c>
      <c r="M40" s="136">
        <f>SUMIFS('Resultater - Østdanmark'!J$3:J$482,'Resultater - Østdanmark'!$F$3:$F$482,$A40)*D4</f>
        <v>687918.86911669304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4171.3630677727415</v>
      </c>
      <c r="E41" s="136">
        <f>SUMIFS('Resultater - Vestdanmark'!J$3:J$482,'Resultater - Vestdanmark'!$F$3:$F$482,$A41)*D5</f>
        <v>4307.7658612412106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350.10096257642732</v>
      </c>
      <c r="M41" s="136">
        <f>SUMIFS('Resultater - Østdanmark'!J$3:J$482,'Resultater - Østdanmark'!$F$3:$F$482,$A41)*D5</f>
        <v>361.54919868427658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1507101.1523820646</v>
      </c>
      <c r="E42" s="136">
        <f>SUMIFS('Resultater - Vestdanmark'!J$3:J$482,'Resultater - Vestdanmark'!$F$3:$F$482,$A42)*D6</f>
        <v>1563200.2483061554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1268228.6485488336</v>
      </c>
      <c r="M42" s="136">
        <f>SUMIFS('Resultater - Østdanmark'!J$3:J$482,'Resultater - Østdanmark'!$F$3:$F$482,$A42)*D6</f>
        <v>1327477.7098236387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1326462.9092294232</v>
      </c>
      <c r="E43" s="136">
        <f>SUMIFS('Resultater - Vestdanmark'!J$3:J$482,'Resultater - Vestdanmark'!$F$3:$F$482,$A43)*D7</f>
        <v>1388988.8638442878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179027.55479609076</v>
      </c>
      <c r="M43" s="136">
        <f>SUMIFS('Resultater - Østdanmark'!J$3:J$482,'Resultater - Østdanmark'!$F$3:$F$482,$A43)*D7</f>
        <v>188529.05350799995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523057.13098607323</v>
      </c>
      <c r="E46" s="136">
        <f>SUMIFS('Resultater - Vestdanmark'!J$3:J$482,'Resultater - Vestdanmark'!$F$3:$F$482,$A46)/SUMIFS('Resultater - Danmark'!J$3:J$482,'Resultater - Danmark'!$F$3:$F$482,$A46)*E19</f>
        <v>519697.15308066551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202910.8690139266</v>
      </c>
      <c r="M46" s="136">
        <f>SUMIFS('Resultater - Østdanmark'!J$3:J$482,'Resultater - Østdanmark'!$F$3:$F$482,$A46)/SUMIFS('Resultater - Danmark'!J$3:J$482,'Resultater - Danmark'!$F$3:$F$482,$A46)*E19</f>
        <v>203334.8469193347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52868.994212030084</v>
      </c>
      <c r="E47" s="136">
        <f>SUMIFS('Resultater - Vestdanmark'!J$3:J$482,'Resultater - Vestdanmark'!$F$3:$F$482,$A47)/SUMIFS('Resultater - Danmark'!J$3:J$482,'Resultater - Danmark'!$F$3:$F$482,$A47)*E20</f>
        <v>52543.907435919093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23065.005787969905</v>
      </c>
      <c r="M47" s="136">
        <f>SUMIFS('Resultater - Østdanmark'!J$3:J$482,'Resultater - Østdanmark'!$F$3:$F$482,$A47)/SUMIFS('Resultater - Danmark'!J$3:J$482,'Resultater - Danmark'!$F$3:$F$482,$A47)*E20</f>
        <v>23390.092564080911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2833.9333697705197</v>
      </c>
      <c r="E48" s="136">
        <f>SUMIFS('Resultater - Vestdanmark'!J$3:J$482,'Resultater - Vestdanmark'!$F$3:$F$482,$A48)/SUMIFS('Resultater - Danmark'!J$3:J$482,'Resultater - Danmark'!$F$3:$F$482,$A48)*E21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952.06663022948101</v>
      </c>
      <c r="M48" s="136">
        <f>SUMIFS('Resultater - Østdanmark'!J$3:J$482,'Resultater - Østdanmark'!$F$3:$F$482,$A48)/SUMIFS('Resultater - Danmark'!J$3:J$482,'Resultater - Danmark'!$F$3:$F$482,$A48)*E21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75614.059561949907</v>
      </c>
      <c r="E49" s="136">
        <f>SUMIFS('Resultater - Vestdanmark'!J$3:J$482,'Resultater - Vestdanmark'!$F$3:$F$482,$A49)/SUMIFS('Resultater - Danmark'!J$3:J$482,'Resultater - Danmark'!$F$3:$F$482,$A49)*E22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10062.940438050116</v>
      </c>
      <c r="M49" s="136">
        <f>SUMIFS('Resultater - Østdanmark'!J$3:J$482,'Resultater - Østdanmark'!$F$3:$F$482,$A49)/SUMIFS('Resultater - Danmark'!J$3:J$482,'Resultater - Danmark'!$F$3:$F$482,$A49)*E22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314692.31350359169</v>
      </c>
      <c r="E50" s="136">
        <f>SUMIFS('Resultater - Vestdanmark'!J$3:J$482,'Resultater - Vestdanmark'!$F$3:$F$482,$A50)/SUMIFS('Resultater - Danmark'!J$3:J$482,'Resultater - Danmark'!$F$3:$F$482,$A50)*E23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15333.686496408332</v>
      </c>
      <c r="M50" s="136">
        <f>SUMIFS('Resultater - Østdanmark'!J$3:J$482,'Resultater - Østdanmark'!$F$3:$F$482,$A50)/SUMIFS('Resultater - Danmark'!J$3:J$482,'Resultater - Danmark'!$F$3:$F$482,$A50)*E23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4075.7207832735812</v>
      </c>
      <c r="E51" s="136">
        <f>SUMIFS('Resultater - Vestdanmark'!J$3:J$482,'Resultater - Vestdanmark'!$F$3:$F$482,$A51)/SUMIFS('Resultater - Danmark'!J$3:J$482,'Resultater - Danmark'!$F$3:$F$482,$A51)*E24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24569.279216726416</v>
      </c>
      <c r="M51" s="136">
        <f>SUMIFS('Resultater - Østdanmark'!J$3:J$482,'Resultater - Østdanmark'!$F$3:$F$482,$A51)/SUMIFS('Resultater - Danmark'!J$3:J$482,'Resultater - Danmark'!$F$3:$F$482,$A51)*E24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21977314.305968519</v>
      </c>
      <c r="E56" s="145">
        <f ca="1">SUM(E39:E55)</f>
        <v>21565393.012799766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3780996.1922394345</v>
      </c>
      <c r="M56" s="145">
        <f ca="1">SUM(M39:M55)</f>
        <v>3791446.2696817257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9.9072311552414666E-2</v>
      </c>
      <c r="E57" s="149">
        <f ca="1">SUMPRODUCT(E39:E55,$F$39:$F$55)/E56</f>
        <v>0.10048591428175808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0.11411353121848991</v>
      </c>
      <c r="M57" s="149">
        <f ca="1">SUMPRODUCT(M39:M55,$N$39:$N$55)/M56</f>
        <v>0.11496127136904122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1.8073911201730013E-2</v>
      </c>
      <c r="E58" s="149">
        <f ca="1">SUM(E48:E51)/E56</f>
        <v>1.8405043896940077E-2</v>
      </c>
      <c r="I58" s="148" t="s">
        <v>161</v>
      </c>
      <c r="K58" s="149">
        <f ca="1">SUM(K48:K51)/K56</f>
        <v>1.8896340963997331E-2</v>
      </c>
      <c r="L58" s="149">
        <f ca="1">SUM(L48:L51)/L56</f>
        <v>1.3466814086172431E-2</v>
      </c>
      <c r="M58" s="149">
        <f ca="1">SUM(M48:M51)/M56</f>
        <v>1.3509882852422774E-2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500535240.15105206</v>
      </c>
      <c r="E59" s="125">
        <f ca="1">SUMPRODUCT(E39:E55,$I$12:$I$28)</f>
        <v>498129173.15808135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108792396.63373713</v>
      </c>
      <c r="M59" s="125">
        <f ca="1">SUMPRODUCT(M39:M55,$I$12:$I$28)</f>
        <v>109846697.94483338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17.969215121422771</v>
      </c>
      <c r="E60" s="125">
        <f ca="1">E59*[1]Energiindhold!$C$10</f>
        <v>17.882837316375124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3.9056470391511633</v>
      </c>
      <c r="M60" s="125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21" sqref="E21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319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338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25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104203.4407339669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25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25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25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25">
      <c r="A22" s="2" t="str">
        <f t="shared" si="0"/>
        <v>Bioaffald</v>
      </c>
      <c r="B22" s="109">
        <f ca="1">SUMIFS('Forbrug af biomasse'!$E$2:$E$403,'Forbrug af biomasse'!$D$2:$D$403,'Forbrug til andet'!B$16,'Forbrug af biomasse'!$C$2:$C$403,'Forbrug til andet'!$A22,'Forbrug af biomasse'!$A$2:$A$403,"Materialer")</f>
        <v>0</v>
      </c>
      <c r="C22" s="109">
        <f ca="1">SUMIFS('Forbrug af biomasse'!$E$2:$E$403,'Forbrug af biomasse'!$D$2:$D$403,'Forbrug til andet'!C$16,'Forbrug af biomasse'!$C$2:$C$403,'Forbrug til andet'!$A22,'Forbrug af biomasse'!$A$2:$A$403,"Materialer")</f>
        <v>0</v>
      </c>
      <c r="D22" s="109">
        <f ca="1">SUMIFS('Forbrug af biomasse'!$E$2:$E$403,'Forbrug af biomasse'!$D$2:$D$403,'Forbrug til andet'!D$16,'Forbrug af biomasse'!$C$2:$C$403,'Forbrug til andet'!$A22,'Forbrug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38349.661358783756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36770.761974969762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3834.9661358783751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36770.761974969762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38349.661358783756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3834.9661358783751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0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0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0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0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0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0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8053.3946437856575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7591.2431987752934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805.33946437856571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7591.2431987752934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8053.3946437856575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805.33946437856571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0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0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0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0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0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0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320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5879215.2019956233</v>
      </c>
      <c r="G203" s="319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773085.89354292606</v>
      </c>
      <c r="G204" s="319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64498.475475191975</v>
      </c>
      <c r="G206" s="319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841167.61765562883</v>
      </c>
      <c r="G207" s="319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5657053.7864699624</v>
      </c>
      <c r="G208" s="319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214099.10609126225</v>
      </c>
      <c r="G209" s="319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12237689.909258299</v>
      </c>
      <c r="G212" s="319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1515714.1736670113</v>
      </c>
      <c r="G213" s="319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39415.735012617326</v>
      </c>
      <c r="G216" s="319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4828427.5390456226</v>
      </c>
      <c r="G217" s="319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5879215.2019956233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773085.89354292606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64498.475475191975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841167.61765562883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5657053.7864699624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214099.10609126225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12237689.909258299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1515714.1736670113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39415.735012617326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4828427.5390456226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721621.60770550347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94889.448034412562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7916.616753740097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103245.8768300271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694353.26110928762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26278.769501998377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1502068.0760117145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186040.49371289229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4837.9324606189484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592646.72642582119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721621.60770550335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94889.448034412548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7916.616753740097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103245.87683002709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694353.2611092875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26278.769501998373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1502068.0760117143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186040.49371289223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4837.9324606189475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592646.72642582108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>
        <f ca="1"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>
        <f ca="1"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1086254.4459537058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716279.67540878139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>
        <f ca="1"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>
        <f ca="1"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1004436.1243752033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2001135.6433479721</v>
      </c>
      <c r="F329" s="171">
        <v>1</v>
      </c>
    </row>
    <row r="330" spans="1:7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>
        <f ca="1"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>
        <f ca="1"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696380.30259275995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585110.82295504375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>
        <f ca="1"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>
        <f ca="1"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720643.40546424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7085171.5926641021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2064375.9771023891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3158.317751313647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502160.95849399589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17711207.128625918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620537.39357630478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6783177.1307623936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2024929.6339054219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3261.5941520826309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525831.49845533748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17222483.674164686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597110.0145929947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387847.14852834243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1026620.9238801375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146723.47845392721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265.07644309358068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67774.717172805787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3047051.4177026679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371889.1498666883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982862.79756951681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143919.86867046604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273.74439328952366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71371.713113742837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3027912.4262798992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362262.716942953</v>
      </c>
    </row>
    <row r="386" spans="1:7" x14ac:dyDescent="0.25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25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25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25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25">
      <c r="A392" t="s">
        <v>239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239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507790.70515370794</v>
      </c>
      <c r="G393" s="171">
        <v>1</v>
      </c>
    </row>
    <row r="394" spans="1:7" x14ac:dyDescent="0.25">
      <c r="A394" t="s">
        <v>239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489039.95714195294</v>
      </c>
      <c r="G394" s="171">
        <v>1</v>
      </c>
    </row>
    <row r="395" spans="1:7" x14ac:dyDescent="0.25">
      <c r="A395" t="s">
        <v>239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239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204407.79128636757</v>
      </c>
      <c r="G396" s="171">
        <v>1</v>
      </c>
    </row>
    <row r="397" spans="1:7" x14ac:dyDescent="0.25">
      <c r="A397" t="s">
        <v>239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199163.17844104863</v>
      </c>
      <c r="G397" s="171">
        <v>1</v>
      </c>
    </row>
    <row r="398" spans="1:7" x14ac:dyDescent="0.25">
      <c r="A398" t="s">
        <v>321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321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25">
      <c r="A400" s="171" t="s">
        <v>321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25">
      <c r="A401" s="171" t="s">
        <v>321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321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25">
      <c r="A403" s="171" t="s">
        <v>321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317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318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317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318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317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318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317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318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317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318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317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318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2001135.6433479721</v>
      </c>
      <c r="F29">
        <f t="shared" si="2"/>
        <v>2001135.6433479721</v>
      </c>
      <c r="G29">
        <f t="shared" si="3"/>
        <v>2001135.6433479721</v>
      </c>
      <c r="H29">
        <f t="shared" si="1"/>
        <v>585110.82295504375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585110.82295504375</v>
      </c>
      <c r="F35">
        <f t="shared" si="2"/>
        <v>585110.82295504375</v>
      </c>
      <c r="G35">
        <f t="shared" si="3"/>
        <v>585110.82295504375</v>
      </c>
      <c r="H35">
        <f t="shared" si="1"/>
        <v>2001135.6433479721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395099.15710561507</v>
      </c>
      <c r="O3" s="171">
        <f>SUMIF($F$3:$F$472,"Roer",J3:J472)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193591.30306616417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195082.22598438186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-95874.153396959387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-91926.904937424406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-21092.313747331063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-202239.19086233369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-536895.25902297255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7321.608646632094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3824.72093480781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-55607.008970236442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13974313.152148861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13378679.704795422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15074833.175881069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14432291.767579561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1932484.8441755001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1850115.671740179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157955.09330394692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151222.50217568839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-8624208099.2889977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-8256614590.7605991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-662338.21422526462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-634107.07402126468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1129347.0553326856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1081210.3868250945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312502.4938554684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515592.79413852637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338727.98629756022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558861.80859999394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10359.684902516792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17092.276030775338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-565629613.92100143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-933223122.44940138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-38183.817321399743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-62998.860651399737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81476.623092807975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134426.95845115845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400887.81238927291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381519.88923974213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11633116.489566609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11071090.657909039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227976.50992341404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216962.37732162914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4354627.9393896051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4144244.6434439537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49607.955734148476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47211.267572096425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-3018237492.1985717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-2872418662.1185713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-12624.026180127716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-12014.126948127714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3264628.4328924101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3106905.8216132326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24989.242538077233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30798.727374135498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1350380.2217691736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1664315.8446407835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11149.046670834457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13740.970674614298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515803.5959782608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635717.32144048903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10309.248317152564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12705.936479204604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-627233259.8014282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-773052089.88142812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-3162.5206376542596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-3897.7416296542592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567341.87495175749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699237.19008069311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94936837.525924489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90395739.189926684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6042.625617552826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5753.5896874331438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133926.6301612042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127520.53940423368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197846.90533692716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188383.32643519162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8355.8690478918143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7956.1841203331578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-328769700.20469648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-313043712.51189649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-7792.2688684879358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-7419.5425368079359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12695.003919601169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12087.765858200146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1301867.175600535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1619871.9859224628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2300.1005179926569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2861.9420350492778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8660.8012303332616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10776.359947924846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15945.044515960162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19839.912557727635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1636.2541410745828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2035.9390686332388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-64379992.115303531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-80105979.808103532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-2874.1067908617647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-3576.1598128617643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2734.5423769668755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3402.5042445080016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6190253.4102852456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5793245.2516373703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1873822.0444380245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1753645.6008920954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-131800059.83531512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-123347142.70950602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1872956.5855112667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1752835.6476501822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191617.21389798366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182756.30227264334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58003.531632365382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55321.287395030558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-2762382.5645685927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-2634642.330368889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339809.05922039697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324095.34549922252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110411.12509434081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105305.40832697245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33422.024340591037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31876.497203453881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-1049474.7555877077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-1000944.1310518599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429777.69437219301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409903.5813376407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647292.97220843995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823343.03727815941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195938.96406869288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249230.238429816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-13781867.528444225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-17530245.433563128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292311.14340349252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371813.62222882651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20036.736412800718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25973.547201778707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6065.2247816733525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7862.328420687677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-288852.60458408005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-374438.56149788154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53033.783808963693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68747.497530138106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11545.302040211707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14966.132274348505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3494.8232388513984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4530.3264207332932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-109739.87473168573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-142255.3931707037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67075.131491613938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86949.244526166192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156066.48455516712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146057.25495610951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-1412368.9664854561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-1321787.5370105102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16056.476819546213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15026.704389566385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2232.6116080389106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2129.3694527538742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-16416.29193287465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-15657.157045805299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1346.2785807074283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1284.0229237961021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649.01322662288487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619.00105429350299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-3985.5442542268311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-3801.2416297539135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859.02521151149961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819.30150230865559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13883.602296555038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17659.649917420516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-125643.69013994894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-159816.12947490715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2505.9241279060566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3187.4827493019607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198.61209622958864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257.46012474205929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-1460.3857389996581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-1893.092624629186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210.11284207572581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272.36849898705196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57.735916518648544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74.842854746396256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-354.55217382977418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-459.6046697793368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134.0675185595982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173.79122776244208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17590.199746367791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16466.68082020347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-15050715.736581037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-14089398.399302948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3259.1169139894369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3050.9510268336935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1564.8160352404641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1990.9714082609653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-1338904.7120577004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-1703536.3519157206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508.64830449546128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647.17142993441996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1915319.6810098316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1792481.8116398426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-6310245.9419409037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-5905542.1348459134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95650.471037593452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89515.985926314766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72613.735813088992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69255.875197454821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-159489.66162561686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-152114.41715738023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21254.24936242116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20271.393900575091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70770.557160842567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67497.930240109956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-99926.538685694788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-95305.658284044155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45468.456349525382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43365.868772668713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170385.9531256723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216727.34631645365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-561356.56096225721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-714033.73084955127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14928.108196618632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18988.239438915254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6459.684359326242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8373.6649102377196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-14188.126545770194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-18392.015892665062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3317.1371837304705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4299.9926455765344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6295.7160387593467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8161.1133835769297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-8889.4186726753924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-11523.320501616248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7096.2330718912444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9198.8206487479092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9706983.0977967456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9084431.6075331569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-28285536.874246053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-26471461.073705673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414920.4249824229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388309.75446706591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1148953.3187971469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1095822.529488608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-2339984.3074096511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-2231776.9405930196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287848.5682215945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274537.65177204093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1343973.4969403241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1281824.4334979968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-1894961.6388756847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-1807333.35499704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739065.61784139404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704889.17308572261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1181670.8904023094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1503060.5023373044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-3443314.488853306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-4379823.5594676668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64756.366904771217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82368.73579604429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139866.80285472781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181308.81851538789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-284855.89314478182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-369257.63926175417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44924.343017243067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58235.259466796568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163607.40951192615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212083.67899694125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-230681.45731053135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-299031.51873587392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115345.50105039099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149521.94580606234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235506.24741957022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220402.19667380178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64841.735128432185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60683.149661785515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129405.40857858877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121106.07096286195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9044.9727754724281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8626.7081384563608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2490.3446739830588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2375.184226631241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29129.860772961158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27782.81518808434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3500.6437552504149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3338.7642752388351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963.82927265854448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919.2591328824268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24746.265403608839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23601.929431187622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20950.526865821888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26648.629234196032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5768.2907724079278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7337.1444591067948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20196.219835964726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25689.166567879809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804.63659545965697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1043.0474385588145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221.53991059305937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287.18136558359544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4546.2788489592567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5893.3244338360719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311.41564967227674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403.68695327887724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85.741806394306352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111.14678606669339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3862.1339069216106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5006.4698793428288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357713.78823913552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334772.03077314643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-554410.37624314951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-518853.60206620558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9337.4796277003261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8738.6260190183275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3644.6597614787634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3476.1205817572022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-3661.2294398580066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-3491.9240322345149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557.61202106142127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531.82649407592203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1464.1762324734386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1396.4686610295801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-900.5098784663644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-858.86780316156148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491.69873757141369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468.96122369527893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31822.053184972803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40476.981902571344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-49320.090695850115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-62734.117340732126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1457.2945083694151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1853.6479434281302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324.22724698935355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420.29457943064347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-325.701277915692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-422.20536026108226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87.026153576059968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112.81168056155921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130.25244056512264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168.84575628812195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-80.108942367614731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-103.84492529135242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76.739109331954737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99.476623208089478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23519.392486831781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22010.990474048354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-361785.91892090446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-338582.99781643564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5079.7181647026664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4753.9335123864967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837.45428405102405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798.72807438392476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-10735.083395517202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-10238.663354106002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817.5298440890889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779.72499580751264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545.21505998444229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520.00280287533519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-5990.5316613096429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-5713.512856162376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1219.5735893528029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1163.1771227931356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2092.2742796089083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2661.3288482258463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-32184.308047356764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-40937.76246325994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792.78838408654349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1008.410138991075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74.49954584708243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96.573485357329062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-954.98805466479621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-1237.94747826918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127.59136295032026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165.39621123189659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48.502079613644888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62.873066165835958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-532.91492640205433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-690.81564533599624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190.33807463887675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246.73454119854389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1459831.5682514813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1366206.1535173119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-6493726.0115491785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-6077254.8211572887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103916.11676096088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97251.51946021714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51980.17769845092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49576.470059216197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-169517.52355815461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-161678.56293118792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21686.979413400197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20684.113313358568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33841.101826802747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32276.195383944818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-81668.213198204001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-77891.648426032712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30991.058283535054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29557.945761753086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129865.94124503061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165186.74401618406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-577678.86310833448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-734795.3556490175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16218.122269051699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20629.110188530907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4624.1325709778021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5994.2459253415936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-15080.200506127167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-19548.408063498176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3384.673087640494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4387.5391876821213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3010.4887694479439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3902.4854418769628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-7265.1664804645052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-9417.8084006021345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4836.7547610141419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6269.8672827961082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6710302.9454768263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6279941.7244116589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-22501409.864215739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-21058295.551265214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319758.3054296819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299250.79989847407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257719.30945372739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245801.65352523138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-585135.82092668954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-558077.51706880797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71979.332397902472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68650.808356380978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99744.19090493265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95131.742770600511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-149316.29200879825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-142411.49237833358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61147.551544305163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58319.919102950007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869236.35264818312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1105650.3460252041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-2914778.0061102584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-3707536.2773591173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49904.475413880995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63477.44240270662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33384.333669699605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43275.988090351333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-75797.073681890819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-98255.465883932528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11233.768640135069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14562.292681656569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12920.620336297921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16748.9522877936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-19342.069964839127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-25073.053658124791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9543.2594895736383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12370.891930928788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451441.13545098307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422488.23125718813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223614.96541461936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209273.55484847655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-16749109.291028244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-15674915.296389058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217613.4597451961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203656.95211549423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11040.127852267429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10529.601708809974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5468.5707924944063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5215.6889061362835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-282822.13551892119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-269743.65526371094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31191.759666056147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29749.366155487074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5167.3499072444192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4928.3973103776243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2559.5735081593152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2441.2117274351849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-89989.163254311061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-85827.814664516321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32045.293130228685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30563.42986409094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38750.872031486135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49290.293646671955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19194.695008133516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24415.248065655596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-1437712.5605304597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-1828740.1179120571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33962.79429549304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43199.959539650292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947.66415379289776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1228.4535326944972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469.41200155226551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608.49703904923297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-24276.928973733986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-31470.093114099611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4868.0780981706121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6310.4716087396828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443.55575793398629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574.97968621072289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219.70905546916669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284.80803486743821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-7724.5033198064702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-10013.245044193571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5001.2885232148819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6483.1517893526234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736415.03033559409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689185.49774353788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113459.86366142625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106183.1839252107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-7211432.0123787876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-6748931.1816871213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109310.61565366659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102300.04542899334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61528.349822365715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58683.108212082909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9479.706272394822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9041.3383522840795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-451892.77781543118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-430996.00196269451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53529.860664432512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51054.491385152403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51634.443157600996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49246.723242798631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7955.3466992998574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7587.4693952859916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-288935.11014406267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-275573.94898133143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98603.186022128328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94043.501119370951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65511.140559912092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83328.791999900495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10093.337004331503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12838.51223823002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-641525.65705496829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-816007.13378580625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17060.038281208082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21700.009636453131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5473.5335477815506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7095.3212656427513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843.3102863130423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1093.1800007761658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-40200.172546702233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-52111.33478276214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8354.3713175703924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10829.740596850508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4593.3761861010362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5954.37653753838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707.70396359667518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917.39402688457903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-25703.533786804186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-33319.395649560982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15388.936546806157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19948.621449563536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694714.65751396539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650159.55311273877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-1425720.3792264217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-1334282.6649701726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25477.550173223743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23843.562901503257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24736.683417900706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23592.790543084491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-38458.773970616763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-36680.333555790559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4100.3569382292126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3910.7450566926018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16104.535603146036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15359.817193752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-19315.14131507387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-18421.955589521323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6116.8250491891858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5833.9660873769699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61801.494677109411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78610.200512722033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-126831.42564332155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-161326.90403730265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3976.2650559366539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5057.7254639552357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2200.5639179276986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2852.5828565729425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-3421.2747480219195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-4434.9857844728576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639.94010018606218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829.55198172267308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1432.6520400717775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1857.1415334263781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-1718.2660395317159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-2227.3819030966688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954.64899611623139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1237.5079579284481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124652.84920250821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116658.31410805255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-572100.76313091454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-535409.42668994272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9371.4603976714352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8770.4274528586666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19817.929570663597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18901.493521153145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-75796.185857948469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-72291.159922320789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6734.2980653214199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6422.8854380233197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18543.97088299767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17686.446217887948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-60791.802201724771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-57980.62059702073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14438.911386684913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13771.216062445146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11089.059822119083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14105.050705791806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-50893.819332859966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-64735.867045238512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1462.5978655325364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1860.3937021215352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1762.9938502457387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2285.3623984666979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-6742.7936436637401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-8740.6584269715131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1051.0176171310889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1362.4302444291889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1649.6630745048212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2138.4521336173607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-5408.0106120493883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-7010.384126730688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2253.471719309206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2921.1670435489705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1698756.0515123385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1589807.3595440446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-5745687.0769171445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-5377190.9111893093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225885.29448860063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211398.27774037674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316706.07375540736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302060.70618290291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-892660.05044181552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-851380.9729647371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190345.37263749584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181543.2744808486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387774.80162457289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369843.0188904886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-936833.69262420165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-893511.90336990345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534026.95160675643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509332.06367118395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265123.77682562516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337231.86414570647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-896725.72876741574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-1140616.2538886415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35253.774284348081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44842.05891462537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49428.115557202313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64073.483129706685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-139316.88648513885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-180595.96396221698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29707.081278684323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38509.17943533152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60519.766727534494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78451.549461618793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-146211.03873325692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-189532.82798755527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83345.246782557369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108040.13471812992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605932.0339558397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551646.84040095157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656426.37011882639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597617.41043436422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3127676.8816170068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3069579.4456842686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121760.78838419665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119499.04912211109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15999.367593683441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15702.175054645397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1620993.8653666629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1590883.4700780637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1378013.0257817972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1340150.8748835563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26400.565848358405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25675.186487461295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122896.50198867312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119519.80973968569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121262.03299452356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117930.24925549733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106168.13854148486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102788.11573768182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51492.407550306889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49853.069099677938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6796.8257251031646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6580.438527777038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69861.044161819853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67636.912462720924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181628.8895635134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173658.75124992887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669.935164472015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640.53744071337906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5290666613.2844973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5290666613.2844973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146913194.13793728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146913194.13793728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69873348.431457967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69873348.431457967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128101138.7910063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128101138.7910063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1498693742.6388357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1498693742.6388357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215890730.41001758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215890730.41001758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2035285226.1060579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2035285226.1060579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146017381.97855961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146017381.97855961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108393271.28469765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108393271.28469765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3588623510.4669318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3588623510.4669318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8490760.4704520311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8438551.5342086051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270357.2434761076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269577.12447057531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3875220.5525499326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3870761.5010252795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95875938.998603612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91789375.641806006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-101689.21712719031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-97354.871796820575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139131150.75867423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136472616.08132389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-290363.30484303256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-284815.00806875952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54644.856187822908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56431.73278225986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79587774.553765386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83339331.830657274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31469231.350359168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31452512.457946908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308124.4912154827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304975.75063757278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53663046.353516184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53318329.420310877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3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20948706.0181107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21728483.45145556</v>
      </c>
      <c r="L451" s="142"/>
      <c r="M451" s="125"/>
    </row>
    <row r="452" spans="1:13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7">
        <f ca="1">SUMIFS('Forbrug af biomasse'!$E$1:$E$425,'Forbrug af biomasse'!$A$1:$A$425,"Biogas",'Forbrug af biomasse'!$B$1:$B$425,$A$1,'Forbrug af biomasse'!$D$1:$D$425,I$2)*'[1]Processer - data'!I452</f>
        <v>20203745.041476861</v>
      </c>
      <c r="J452" s="288">
        <f ca="1">SUMIFS('Forbrug af biomasse'!$E$1:$E$425,'Forbrug af biomasse'!$A$1:$A$425,"Biogas",'Forbrug af biomasse'!$B$1:$B$425,$A$1,'Forbrug af biomasse'!$D$1:$D$425,J$2)*'[1]Processer - data'!J452</f>
        <v>19825065.796666823</v>
      </c>
    </row>
    <row r="453" spans="1:13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37551409.441119738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35950838.793040685</v>
      </c>
    </row>
    <row r="454" spans="1:13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16515007.816819113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16199437.071243376</v>
      </c>
    </row>
    <row r="455" spans="1:13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22108.224259195529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22831.159064578416</v>
      </c>
    </row>
    <row r="456" spans="1:13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7030253.4189159423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7361640.9783747252</v>
      </c>
    </row>
    <row r="457" spans="1:13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49012317.500056781</v>
      </c>
      <c r="I457" s="287">
        <f ca="1">I452*'[1]Processer - data'!I$457*Biogasanlæg!AB$3</f>
        <v>123978449.90038142</v>
      </c>
      <c r="J457" s="288">
        <f ca="1">J452*'[1]Processer - data'!J$457*Biogasanlæg!AC$3</f>
        <v>120557385.71915281</v>
      </c>
    </row>
    <row r="458" spans="1:13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Vestdanmark'!H$3:H$482,'Resultater - Vestdanmark'!$F$3:$F$482,"Gødning",'Resultater - Vestdanmark'!$A$3:$A$482,"&lt;&gt;Gødning")-SUM(H453:H457)</f>
        <v>115302944.8742784</v>
      </c>
      <c r="I458" s="287">
        <f ca="1">-SUMIFS('Resultater - Vestdanmark'!I$3:I$482,'Resultater - Vestdanmark'!$F$3:$F$482,"Gødning",'Resultater - Vestdanmark'!$A$3:$A$482,"&lt;&gt;Gødning")-SUM(I453:I457)</f>
        <v>99285982.972208768</v>
      </c>
      <c r="J458" s="288">
        <f ca="1">-SUMIFS('Resultater - Vestdanmark'!J$3:J$482,'Resultater - Vestdanmark'!$F$3:$F$482,"Gødning",'Resultater - Vestdanmark'!$A$3:$A$482,"&lt;&gt;Gødning")-SUM(J453:J457)</f>
        <v>95537602.33487916</v>
      </c>
    </row>
    <row r="459" spans="1:13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11.227315588401201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10.38165726157278</v>
      </c>
    </row>
    <row r="460" spans="1:13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5.6872558977215286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5.4772475199898727</v>
      </c>
    </row>
    <row r="461" spans="1:13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3.2663029818159193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3.1606621911634383</v>
      </c>
    </row>
    <row r="462" spans="1:13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31.93969521225883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29.003597326661179</v>
      </c>
    </row>
    <row r="463" spans="1:13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12.632072947607</v>
      </c>
      <c r="I467" s="287">
        <f ca="1">SUM(I433:I451)*'[1]Processer - data'!$H$467</f>
        <v>17.95514043588404</v>
      </c>
      <c r="J467" s="288">
        <f ca="1">SUM(J433:J451)*'[1]Processer - data'!$H$467</f>
        <v>17.869117417687946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253895.35257685397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244519.97857097647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162493.02564918654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156492.78628542495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2381738.5992335565</v>
      </c>
      <c r="O3" s="171">
        <f>SUMIF($F$3:$F$472,"Roer",J3:J472)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-20133.486609464144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-18978.107996938234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-4429.3670540821113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-41751.837593264114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-112747.52501299921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1537.5312784913644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803.18798130145899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-11677.422233489202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2024837.6614764591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1938532.0932882407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2184299.8380428459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2091197.4416372697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280011.47892677027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268076.42346638505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22887.237337648923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21911.704305907471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-1249622873.7485683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-1196359634.8273683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-95970.896472443128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-91880.285700443143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163639.13028265885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156664.265884605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45280.709826269078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74707.908445362846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49080.708023629362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80977.463814749761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1501.0884558873256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2476.621487628775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-81958099.28143169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-135221338.20263165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-5532.7249739940389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-9128.3531639940375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11805.72763555619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19478.078473415422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28492.704311595535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27116.148351611824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826812.23553314724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786866.80605885829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16203.204703389418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15420.386134770446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309500.86889536137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294548.08445486653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3525.8363326428594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3355.4940946949005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-214518241.13794559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-204154312.17794558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-897.24016060370673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-853.89217660370673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232030.23327460969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220820.25485284967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1776.0856693662658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2188.9890516117057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95976.93713306167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118289.60067363255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792.40745248648784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976.62588456522246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36660.22984204728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45182.979142241609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732.71961605610988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903.06185400406844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-44579982.862054422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-54943911.822054416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-224.77302283388784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-277.02812683388782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40323.261987545491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49697.590909284576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7586881.0240243496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482.89665874509575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10702.751802787869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15810.943053088155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667.75959649352649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-26273643.242814526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-622.71946646930519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1014.5217267347451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135955.25786367254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240.2017386234574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904.4559127414924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1665.1565378127891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170.87561454007789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-6723265.3171854792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-300.14577308863744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285.57092533512582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2136979.4262200929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2024462.3207392881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646874.83564218285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612815.32003721921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-45499593.889754348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-43103930.86080201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646576.06468756462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612532.28009180154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223456.40358567334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287719.03891718976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67641.420674954294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87094.056090138125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-4757732.100957551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-6125982.9011261035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100910.71529805925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129931.08971644276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82715.890477068679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78360.699940578925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-748561.46774886642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-709147.90644259541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8509.9999646862343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8061.9280029631773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7358.3673667172652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9474.5209928154509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-66591.682015347134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-85742.428688059255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1328.1502835059441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1710.1059400224922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9243.1243106394777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8756.8172002088941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-7908701.3520720471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-7492602.0362424925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1712.568544602939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1622.465433106157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822.26406439735013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1058.778806934348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-703554.41507739201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-905923.7007456834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267.27948383976513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344.15933429524551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109315.57394733132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103559.8461131693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-360153.01452360908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-341190.092266533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5459.1858703682619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5171.7466068550711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9724.6629078001679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12521.326848228649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-32039.045627273659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-41252.983883135348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852.01166762972878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1097.0371590298637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1270513.535612202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1203617.9428202172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-3702196.3568623648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-3507266.8161823452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54307.503251117101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51448.082614338469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154664.82693637558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199144.05963025414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-450683.55650590413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-580293.23685926083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8475.7375016194328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10913.229645465735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25646.213260838555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24295.878462455803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7061.1501203360021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6689.3635868966203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14092.0198163569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13350.041086632189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2281.4752721636146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2937.5925777332927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628.15664943335867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808.804870052046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2199.3325724950073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2831.8268971644038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2174121.3974670577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2059648.6778866111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-3369608.6133593493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-3192190.6171323075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56751.556480189967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53763.450563804916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193408.8341446128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249030.24923538114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-299758.82404393284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-385964.86552599713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8857.1793350585504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11404.368301413164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14950.167933823317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14163.005642167029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-229970.23613549568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-217861.75020473867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3228.9371275774656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3058.9258233427086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1329.9600260204675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1712.436136734741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-20458.045861995834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-26341.466161118406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503.93816441960456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648.86305343633217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374647.84160445235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354921.73184656532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-1666535.0216474333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-1578787.9453221196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26668.7950165656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25264.618829791292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33328.498741575277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42913.263941448356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-148254.18487372255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-190889.81520712902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4162.1818811981002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5359.1615699557296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336848.50208583073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319112.61844782933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-1129541.5824243107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-1070068.5019560563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16051.452086242309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15206.304535756813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43634.537177707913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56183.161005511771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-146318.07434756536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-188396.90898074809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2505.139920974234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3225.5797500090212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185443.29237588114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175679.25710584028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91856.705458575423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87020.229032836913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-6880210.3472225228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-6517950.7279346259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89391.402934828773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84684.730615158391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15918.109201051073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20495.913329014697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7884.8096882071995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10152.360053830969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-590584.52980493929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-760427.58492570627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13951.259417574436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17963.427706245715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555878.48623619205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526610.147241942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85644.500264934279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81135.111380828137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-5443506.3727712473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-5156892.6725102626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82512.465194274628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78167.985488090853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49450.693081936399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63671.954166525713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7618.8951391753681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9809.9725578637645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-484251.80969334964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-623515.20494896802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12877.667978297199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16581.087830807151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137967.18537298322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130702.88130012646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-283141.61177291331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-268233.52505622967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5059.7261042070058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4793.3193579436438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12273.497010926079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15803.166557197108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-25188.146850781133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-32431.871665889583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789.6682359167005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1016.764712291076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31990.622698686529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30306.239487308794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-146822.63402755381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-139092.06928876796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2405.0702060611807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2278.4374763569049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2845.8710019236164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3664.2998652836986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-13061.273628231522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-16817.495650369216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375.35777782457734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483.30491922722223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450501.11404618341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426781.14709357038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-1523725.8032473489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-1443497.9756771696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59903.584580711453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56749.516805305531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70309.422423392782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90529.334231969464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-237806.91726981744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-306196.54029515712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9349.1143565272214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12037.776292034505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177359.22120275494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161179.02528703219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192139.15630298451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174610.61072761822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222296.53737538058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218167.31964379738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8654.0274684352171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8493.2765899277038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1137.1392093523875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1116.0165439165003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115210.53389359287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113070.46736338305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199670.11202830033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194183.99559105173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3825.3658288618731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3720.2604521030635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17807.348596028591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17318.075630515144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17570.518754029476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17087.752902053573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7545.7953205064359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7305.5635465813803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3659.7718795162909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3543.2575223897543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483.07765828201667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467.69815249589072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4965.3045382911068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4807.2265800843434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14575.114892812006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53.760070968776368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649382479.82762516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649382479.82762504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18032293.716852445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18032293.716852441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8576334.816551771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8576334.816551771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15723280.497011581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15723280.49701158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183951386.51398864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183951386.51398861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26498675.522935599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26498675.522935595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249813239.78468749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249813239.78468746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17922340.706383832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17922340.706383828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13304314.266702108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13304314.266702106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440471759.93726152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440471759.93726146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3704239.9295479665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3756448.8657913944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90827.156523892496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91607.275529424704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515725.69745006849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520184.74897472042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13892146.969952501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13300015.728813034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-14734.474200152699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-14106.440065864836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9888608.7742910944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9699656.0545453709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-20637.28437769684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-20242.944678317715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4586.3226097511979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4736.2945027640226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10741653.287765445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11311743.210479997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1533368.6496408333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1550087.542053089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1857437.5087845169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1860586.2493624268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20817640.606483798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20861138.619689144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17628378.214828786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18451940.166548576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7">
        <f ca="1">SUMIFS('Forbrug af biomasse'!$E$1:$E$425,'Forbrug af biomasse'!$A$1:$A$425,"Biogas",'Forbrug af biomasse'!$B$1:$B$425,$A$1,'Forbrug af biomasse'!$D$1:$D$425,I$2)*'[1]Processer - data'!I452</f>
        <v>3475869.7995257122</v>
      </c>
      <c r="J452" s="288">
        <f ca="1">SUMIFS('Forbrug af biomasse'!$E$1:$E$425,'Forbrug af biomasse'!$A$1:$A$425,"Biogas",'Forbrug af biomasse'!$B$1:$B$425,$A$1,'Forbrug af biomasse'!$D$1:$D$425,J$2)*'[1]Processer - data'!J452</f>
        <v>3485476.5557184103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5441090.8965647286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5209172.8271184387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1173787.8276314177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1151358.9493637283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1855.5351016550646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1916.2107530266658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948846.04041928099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999203.98359239975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12612124.648502612</v>
      </c>
      <c r="I457" s="287">
        <f ca="1">I452*'[1]Processer - data'!I$457*Biogasanlæg!AB$3</f>
        <v>21329359.923918676</v>
      </c>
      <c r="J457" s="288">
        <f ca="1">J452*'[1]Processer - data'!J$457*Biogasanlæg!AC$3</f>
        <v>21195386.983959295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Østdanmark'!H$3:H$482,'Resultater - Østdanmark'!$F$3:$F$482,"Gødning",'Resultater - Østdanmark'!$A$3:$A$482,"&lt;&gt;Gødning")-SUM(H453:H457)</f>
        <v>62055543.764534786</v>
      </c>
      <c r="I458" s="287">
        <f ca="1">-SUMIFS('Resultater - Østdanmark'!I$3:I$482,'Resultater - Østdanmark'!$F$3:$F$482,"Gødning",'Resultater - Østdanmark'!$A$3:$A$482,"&lt;&gt;Gødning")-SUM(I453:I457)</f>
        <v>59502263.978670128</v>
      </c>
      <c r="J458" s="288">
        <f ca="1">-SUMIFS('Resultater - Østdanmark'!J$3:J$482,'Resultater - Østdanmark'!$F$3:$F$482,"Gødning",'Resultater - Østdanmark'!$A$3:$A$482,"&lt;&gt;Gødning")-SUM(J453:J457)</f>
        <v>57962034.710872479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7.4033280096831886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7.1976519459865562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2.2893672624073167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2.2306275985397446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0.72532206131240562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0.70784862559551565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9.3489024359990136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8.4803440270882753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3.9778547832368667</v>
      </c>
      <c r="I467" s="287">
        <f ca="1">SUM(I433:I451)*'[1]Processer - data'!$H$467</f>
        <v>3.9043771930182185</v>
      </c>
      <c r="J467" s="288">
        <f ca="1">SUM(J433:J451)*'[1]Processer - data'!$H$467</f>
        <v>3.942263313307202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102203.89564318379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99581.589220524314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65410.493211637622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63732.21710113556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13678829.326550774</v>
      </c>
      <c r="O3" s="98">
        <f>SUMIF($F$3:$F$487,$L$3,J$3:J$487)</f>
        <v>12687016.082447961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>
        <f ca="1">'Resultater - Vestdanmark'!H4+'Resultater - Østdanmark'!H4</f>
        <v>358674.32551850227</v>
      </c>
      <c r="I4" s="281">
        <f ca="1">'Resultater - Vestdanmark'!I4+'Resultater - Østdanmark'!I4</f>
        <v>363994.97174274386</v>
      </c>
      <c r="J4" s="282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5747.6132469276017</v>
      </c>
      <c r="O7" s="98">
        <f>SUMIFS(J$3:J$487,$F$3:$F$487,$L$3,$C$3:$C$487,$L7)+SUMIFS(J$3:J$487,$F$3:$F$487,$L$3,$C$3:$C$487,"",$A$3:$A$487,"Grøntsager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1363682.5742994456</v>
      </c>
      <c r="O8" s="98">
        <f>SUMIFS(J$3:J$487,$F$3:$F$487,$L$3,$C$3:$C$487,$L8)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2591318.0386518659</v>
      </c>
      <c r="O9" s="98">
        <f>SUMIFS(J$3:J$487,$F$3:$F$487,$L$3,$C$3:$C$487,$L9)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-116007.64000642353</v>
      </c>
      <c r="J16" s="282">
        <f>'Resultater - Vestdanmark'!J16+'Resultater - Østdanmark'!J16</f>
        <v>-110905.01293436263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-25521.680801413175</v>
      </c>
      <c r="J19" s="282">
        <f>'Resultater - Vestdanmark'!J19+'Resultater - Østdanmark'!J19</f>
        <v>-243991.02845559781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-649642.78403597174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8859.1399251234579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4627.9089161092688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-67284.431203725646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0</v>
      </c>
      <c r="J28" s="282">
        <f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0</v>
      </c>
      <c r="J29" s="282">
        <f>'Resultater - Vestdanmark'!J29+'Resultater - Østdanmark'!J29</f>
        <v>0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0</v>
      </c>
      <c r="J30" s="282">
        <f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0</v>
      </c>
      <c r="J31" s="282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0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0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15999150.813625321</v>
      </c>
      <c r="J74" s="282">
        <f>'Resultater - Vestdanmark'!J74+'Resultater - Østdanmark'!J74</f>
        <v>15317211.798083663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17259133.013923913</v>
      </c>
      <c r="J75" s="282">
        <f>'Resultater - Vestdanmark'!J75+'Resultater - Østdanmark'!J75</f>
        <v>16523489.209216831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2212496.3231022703</v>
      </c>
      <c r="J76" s="282">
        <f>'Resultater - Vestdanmark'!J76+'Resultater - Østdanmark'!J76</f>
        <v>2118192.0952065638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180842.33064159585</v>
      </c>
      <c r="J77" s="282">
        <f>'Resultater - Vestdanmark'!J77+'Resultater - Østdanmark'!J77</f>
        <v>173134.20648159587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-9873830973.0375652</v>
      </c>
      <c r="J78" s="282">
        <f>'Resultater - Vestdanmark'!J78+'Resultater - Østdanmark'!J78</f>
        <v>-9452974225.5879669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-758309.11069770774</v>
      </c>
      <c r="J79" s="282">
        <f>'Resultater - Vestdanmark'!J79+'Resultater - Østdanmark'!J79</f>
        <v>-725987.35972170788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1292986.1856153444</v>
      </c>
      <c r="J80" s="282">
        <f>'Resultater - Vestdanmark'!J80+'Resultater - Østdanmark'!J80</f>
        <v>1237874.6527096995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357783.20368173748</v>
      </c>
      <c r="J81" s="282">
        <f>'Resultater - Vestdanmark'!J81+'Resultater - Østdanmark'!J81</f>
        <v>590300.70258388924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387808.6943211896</v>
      </c>
      <c r="J83" s="282">
        <f>'Resultater - Vestdanmark'!J83+'Resultater - Østdanmark'!J83</f>
        <v>639839.27241474367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11860.773358404118</v>
      </c>
      <c r="J84" s="282">
        <f>'Resultater - Vestdanmark'!J84+'Resultater - Østdanmark'!J84</f>
        <v>19568.897518404112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-647587713.20243311</v>
      </c>
      <c r="J85" s="282">
        <f>'Resultater - Vestdanmark'!J85+'Resultater - Østdanmark'!J85</f>
        <v>-1068444460.6520331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-43716.542295393781</v>
      </c>
      <c r="J86" s="282">
        <f>'Resultater - Vestdanmark'!J86+'Resultater - Østdanmark'!J86</f>
        <v>-72127.21381539377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93282.350728364167</v>
      </c>
      <c r="J87" s="282">
        <f>'Resultater - Vestdanmark'!J87+'Resultater - Østdanmark'!J87</f>
        <v>153905.03692457388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429380.51670086844</v>
      </c>
      <c r="J88" s="282">
        <f>'Resultater - Vestdanmark'!J88+'Resultater - Østdanmark'!J88</f>
        <v>408636.03759135393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12459928.725099757</v>
      </c>
      <c r="J89" s="282">
        <f>'Resultater - Vestdanmark'!J89+'Resultater - Østdanmark'!J89</f>
        <v>11857957.463967897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244179.71462680344</v>
      </c>
      <c r="J90" s="282">
        <f>'Resultater - Vestdanmark'!J90+'Resultater - Østdanmark'!J90</f>
        <v>232382.76345639958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4664128.8082849663</v>
      </c>
      <c r="J91" s="282">
        <f>'Resultater - Vestdanmark'!J91+'Resultater - Østdanmark'!J91</f>
        <v>4438792.7278988203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53133.792066791335</v>
      </c>
      <c r="J92" s="282">
        <f>'Resultater - Vestdanmark'!J92+'Resultater - Østdanmark'!J92</f>
        <v>50566.761666791324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-3232755733.3365173</v>
      </c>
      <c r="J93" s="282">
        <f>'Resultater - Vestdanmark'!J93+'Resultater - Østdanmark'!J93</f>
        <v>-3076572974.2965169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-13521.266340731423</v>
      </c>
      <c r="J94" s="282">
        <f>'Resultater - Vestdanmark'!J94+'Resultater - Østdanmark'!J94</f>
        <v>-12868.019124731421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3496658.6661670199</v>
      </c>
      <c r="J95" s="282">
        <f>'Resultater - Vestdanmark'!J95+'Resultater - Østdanmark'!J95</f>
        <v>3327726.0764660821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26765.328207443497</v>
      </c>
      <c r="J96" s="282">
        <f>'Resultater - Vestdanmark'!J96+'Resultater - Østdanmark'!J96</f>
        <v>32987.716425747203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1446357.1589022353</v>
      </c>
      <c r="J97" s="282">
        <f>'Resultater - Vestdanmark'!J97+'Resultater - Østdanmark'!J97</f>
        <v>1782605.445314416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11941.454123320946</v>
      </c>
      <c r="J98" s="282">
        <f>'Resultater - Vestdanmark'!J98+'Resultater - Østdanmark'!J98</f>
        <v>14717.596559179521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552463.82582030806</v>
      </c>
      <c r="J99" s="282">
        <f>'Resultater - Vestdanmark'!J99+'Resultater - Østdanmark'!J99</f>
        <v>680900.30058273068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11041.967933208674</v>
      </c>
      <c r="J100" s="282">
        <f>'Resultater - Vestdanmark'!J100+'Resultater - Østdanmark'!J100</f>
        <v>13608.998333208672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-671813242.66348267</v>
      </c>
      <c r="J101" s="282">
        <f>'Resultater - Vestdanmark'!J101+'Resultater - Østdanmark'!J101</f>
        <v>-827996001.70348251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-3387.2936604881475</v>
      </c>
      <c r="J102" s="282">
        <f>'Resultater - Vestdanmark'!J102+'Resultater - Østdanmark'!J102</f>
        <v>-4174.7697564881473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607665.13693930302</v>
      </c>
      <c r="J103" s="282">
        <f>'Resultater - Vestdanmark'!J103+'Resultater - Østdanmark'!J103</f>
        <v>748934.78098997765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102904851.25711353</v>
      </c>
      <c r="J104" s="282">
        <f>'Resultater - Vestdanmark'!J104+'Resultater - Østdanmark'!J104</f>
        <v>97982620.213951036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6549.7809552261278</v>
      </c>
      <c r="J105" s="282">
        <f>'Resultater - Vestdanmark'!J105+'Resultater - Østdanmark'!J105</f>
        <v>6236.4863461782397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145167.04279665722</v>
      </c>
      <c r="J106" s="282">
        <f>'Resultater - Vestdanmark'!J106+'Resultater - Østdanmark'!J106</f>
        <v>138223.29120702157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214452.12307411386</v>
      </c>
      <c r="J107" s="282">
        <f>'Resultater - Vestdanmark'!J107+'Resultater - Østdanmark'!J107</f>
        <v>204194.26948827977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9057.1740528266855</v>
      </c>
      <c r="J108" s="282">
        <f>'Resultater - Vestdanmark'!J108+'Resultater - Østdanmark'!J108</f>
        <v>8623.943716826685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-356363219.78991097</v>
      </c>
      <c r="J109" s="282">
        <f>'Resultater - Vestdanmark'!J109+'Resultater - Østdanmark'!J109</f>
        <v>-339317355.75471103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-8446.2711183972406</v>
      </c>
      <c r="J110" s="282">
        <f>'Resultater - Vestdanmark'!J110+'Resultater - Østdanmark'!J110</f>
        <v>-8042.2620032772411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13760.490912690218</v>
      </c>
      <c r="J111" s="282">
        <f>'Resultater - Vestdanmark'!J111+'Resultater - Østdanmark'!J111</f>
        <v>13102.287584934891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1411132.4071133996</v>
      </c>
      <c r="J112" s="282">
        <f>'Resultater - Vestdanmark'!J112+'Resultater - Østdanmark'!J112</f>
        <v>1755827.2437861352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2493.1471054722101</v>
      </c>
      <c r="J113" s="282">
        <f>'Resultater - Vestdanmark'!J113+'Resultater - Østdanmark'!J113</f>
        <v>3102.1437736727353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9387.6990807862003</v>
      </c>
      <c r="J114" s="282">
        <f>'Resultater - Vestdanmark'!J114+'Resultater - Østdanmark'!J114</f>
        <v>11680.815860666338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17283.306216671408</v>
      </c>
      <c r="J115" s="282">
        <f>'Resultater - Vestdanmark'!J115+'Resultater - Østdanmark'!J115</f>
        <v>21505.069095540424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1773.5843471733165</v>
      </c>
      <c r="J116" s="282">
        <f>'Resultater - Vestdanmark'!J116+'Resultater - Østdanmark'!J116</f>
        <v>2206.8146831733166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-69783381.090089008</v>
      </c>
      <c r="J117" s="282">
        <f>'Resultater - Vestdanmark'!J117+'Resultater - Østdanmark'!J117</f>
        <v>-86829245.125289008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-3115.3295129504022</v>
      </c>
      <c r="J118" s="282">
        <f>'Resultater - Vestdanmark'!J118+'Resultater - Østdanmark'!J118</f>
        <v>-3876.3055859504016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2964.0515093122676</v>
      </c>
      <c r="J119" s="282">
        <f>'Resultater - Vestdanmark'!J119+'Resultater - Østdanmark'!J119</f>
        <v>3688.0751698431277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8327232.8365053385</v>
      </c>
      <c r="J120" s="282">
        <f>'Resultater - Vestdanmark'!J120+'Resultater - Østdanmark'!J120</f>
        <v>7817707.5723766582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2520696.8800802073</v>
      </c>
      <c r="J121" s="282">
        <f>'Resultater - Vestdanmark'!J121+'Resultater - Østdanmark'!J121</f>
        <v>2366460.9209293146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-177299653.72506946</v>
      </c>
      <c r="J122" s="282">
        <f>'Resultater - Vestdanmark'!J122+'Resultater - Østdanmark'!J122</f>
        <v>-166451073.57030803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2519532.6501988312</v>
      </c>
      <c r="J123" s="282">
        <f>'Resultater - Vestdanmark'!J123+'Resultater - Østdanmark'!J123</f>
        <v>2365367.9277419839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218711.10246240979</v>
      </c>
      <c r="J124" s="282">
        <f>'Resultater - Vestdanmark'!J124+'Resultater - Østdanmark'!J124</f>
        <v>208597.29425605555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66204.993236055947</v>
      </c>
      <c r="J125" s="282">
        <f>'Resultater - Vestdanmark'!J125+'Resultater - Østdanmark'!J125</f>
        <v>63143.490658666065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-3152972.1355900234</v>
      </c>
      <c r="J126" s="282">
        <f>'Resultater - Vestdanmark'!J126+'Resultater - Østdanmark'!J126</f>
        <v>-3007169.9559095595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387856.66724271985</v>
      </c>
      <c r="J127" s="282">
        <f>'Resultater - Vestdanmark'!J127+'Resultater - Østdanmark'!J127</f>
        <v>369921.0988153108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127435.24663930605</v>
      </c>
      <c r="J128" s="282">
        <f>'Resultater - Vestdanmark'!J128+'Resultater - Østdanmark'!J128</f>
        <v>121542.28725714161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38575.31486423024</v>
      </c>
      <c r="J129" s="282">
        <f>'Resultater - Vestdanmark'!J129+'Resultater - Østdanmark'!J129</f>
        <v>36791.485275132887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-1211291.6538597967</v>
      </c>
      <c r="J130" s="282">
        <f>'Resultater - Vestdanmark'!J130+'Resultater - Østdanmark'!J130</f>
        <v>-1155278.1669761066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496044.45598752372</v>
      </c>
      <c r="J131" s="282">
        <f>'Resultater - Vestdanmark'!J131+'Resultater - Østdanmark'!J131</f>
        <v>473105.98403434339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870749.37579411326</v>
      </c>
      <c r="J132" s="282">
        <f>'Resultater - Vestdanmark'!J132+'Resultater - Østdanmark'!J132</f>
        <v>1111062.0761953492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263580.38474364718</v>
      </c>
      <c r="J133" s="282">
        <f>'Resultater - Vestdanmark'!J133+'Resultater - Østdanmark'!J133</f>
        <v>336324.29451995413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-18539599.629401777</v>
      </c>
      <c r="J134" s="282">
        <f>'Resultater - Vestdanmark'!J134+'Resultater - Østdanmark'!J134</f>
        <v>-23656228.33468923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393221.8587015518</v>
      </c>
      <c r="J135" s="282">
        <f>'Resultater - Vestdanmark'!J135+'Resultater - Østdanmark'!J135</f>
        <v>501744.71194526926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22869.848806618455</v>
      </c>
      <c r="J136" s="282">
        <f>'Resultater - Vestdanmark'!J136+'Resultater - Østdanmark'!J136</f>
        <v>29646.100304875774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6922.8227031228453</v>
      </c>
      <c r="J137" s="282">
        <f>'Resultater - Vestdanmark'!J137+'Resultater - Østdanmark'!J137</f>
        <v>8974.0294299740563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-329695.17880244815</v>
      </c>
      <c r="J138" s="282">
        <f>'Resultater - Vestdanmark'!J138+'Resultater - Østdanmark'!J138</f>
        <v>-427382.63918835868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60532.543442505412</v>
      </c>
      <c r="J139" s="282">
        <f>'Resultater - Vestdanmark'!J139+'Resultater - Østdanmark'!J139</f>
        <v>78468.111869914399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13325.454402919344</v>
      </c>
      <c r="J140" s="282">
        <f>'Resultater - Vestdanmark'!J140+'Resultater - Østdanmark'!J140</f>
        <v>17273.737188969517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4033.6846583463876</v>
      </c>
      <c r="J141" s="282">
        <f>'Resultater - Vestdanmark'!J141+'Resultater - Østdanmark'!J141</f>
        <v>5228.8504830416123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-126660.49721574405</v>
      </c>
      <c r="J142" s="282">
        <f>'Resultater - Vestdanmark'!J142+'Resultater - Østdanmark'!J142</f>
        <v>-164189.53342781632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77417.342841983467</v>
      </c>
      <c r="J143" s="282">
        <f>'Resultater - Vestdanmark'!J143+'Resultater - Østdanmark'!J143</f>
        <v>100355.81479516374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238782.37503223581</v>
      </c>
      <c r="J144" s="282">
        <f>'Resultater - Vestdanmark'!J144+'Resultater - Østdanmark'!J144</f>
        <v>224417.95489668843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-2160930.4342343225</v>
      </c>
      <c r="J145" s="282">
        <f>'Resultater - Vestdanmark'!J145+'Resultater - Østdanmark'!J145</f>
        <v>-2030935.4434531056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24566.476784232447</v>
      </c>
      <c r="J146" s="282">
        <f>'Resultater - Vestdanmark'!J146+'Resultater - Østdanmark'!J146</f>
        <v>23088.632392529562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2717.2718403377421</v>
      </c>
      <c r="J147" s="282">
        <f>'Resultater - Vestdanmark'!J147+'Resultater - Østdanmark'!J147</f>
        <v>2591.6176511891758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-19979.976647683226</v>
      </c>
      <c r="J148" s="282">
        <f>'Resultater - Vestdanmark'!J148+'Resultater - Østdanmark'!J148</f>
        <v>-19056.047091720993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1638.5316924063941</v>
      </c>
      <c r="J149" s="282">
        <f>'Resultater - Vestdanmark'!J149+'Resultater - Østdanmark'!J149</f>
        <v>1562.7614407344222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802.64916320151292</v>
      </c>
      <c r="J150" s="282">
        <f>'Resultater - Vestdanmark'!J150+'Resultater - Østdanmark'!J150</f>
        <v>765.53243889161649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-4929.0116585198175</v>
      </c>
      <c r="J151" s="282">
        <f>'Resultater - Vestdanmark'!J151+'Resultater - Østdanmark'!J151</f>
        <v>-4701.0804835593626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1062.3756788077692</v>
      </c>
      <c r="J152" s="282">
        <f>'Resultater - Vestdanmark'!J152+'Resultater - Østdanmark'!J152</f>
        <v>1013.2484797877565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21241.969663272303</v>
      </c>
      <c r="J153" s="282">
        <f>'Resultater - Vestdanmark'!J153+'Resultater - Østdanmark'!J153</f>
        <v>27134.170910235967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-192235.37215529609</v>
      </c>
      <c r="J154" s="282">
        <f>'Resultater - Vestdanmark'!J154+'Resultater - Østdanmark'!J154</f>
        <v>-245558.55816296639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3834.0744114120007</v>
      </c>
      <c r="J155" s="282">
        <f>'Resultater - Vestdanmark'!J155+'Resultater - Østdanmark'!J155</f>
        <v>4897.5886893244533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241.72724637455406</v>
      </c>
      <c r="J156" s="282">
        <f>'Resultater - Vestdanmark'!J156+'Resultater - Østdanmark'!J156</f>
        <v>313.35013418923671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-1777.4094832823403</v>
      </c>
      <c r="J157" s="282">
        <f>'Resultater - Vestdanmark'!J157+'Resultater - Østdanmark'!J157</f>
        <v>-2304.049330180811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255.72459939290545</v>
      </c>
      <c r="J158" s="282">
        <f>'Resultater - Vestdanmark'!J158+'Resultater - Østdanmark'!J158</f>
        <v>331.49485106487742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71.403298391163489</v>
      </c>
      <c r="J159" s="282">
        <f>'Resultater - Vestdanmark'!J159+'Resultater - Østdanmark'!J159</f>
        <v>92.559831247804524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-438.48259783017335</v>
      </c>
      <c r="J160" s="282">
        <f>'Resultater - Vestdanmark'!J160+'Resultater - Østdanmark'!J160</f>
        <v>-568.40336755763201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165.80429669254198</v>
      </c>
      <c r="J161" s="282">
        <f>'Resultater - Vestdanmark'!J161+'Resultater - Østdanmark'!J161</f>
        <v>214.93149571255441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26833.324057007267</v>
      </c>
      <c r="J162" s="282">
        <f>'Resultater - Vestdanmark'!J162+'Resultater - Østdanmark'!J162</f>
        <v>25223.498020412364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-22959417.088653084</v>
      </c>
      <c r="J163" s="282">
        <f>'Resultater - Vestdanmark'!J163+'Resultater - Østdanmark'!J163</f>
        <v>-21582000.435545441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4971.6854585923757</v>
      </c>
      <c r="J164" s="282">
        <f>'Resultater - Vestdanmark'!J164+'Resultater - Østdanmark'!J164</f>
        <v>4673.41645993985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2387.0800996378143</v>
      </c>
      <c r="J165" s="282">
        <f>'Resultater - Vestdanmark'!J165+'Resultater - Østdanmark'!J165</f>
        <v>3049.7502151953131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-2042459.1271350924</v>
      </c>
      <c r="J166" s="282">
        <f>'Resultater - Vestdanmark'!J166+'Resultater - Østdanmark'!J166</f>
        <v>-2609460.052661404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775.92778833522641</v>
      </c>
      <c r="J167" s="282">
        <f>'Resultater - Vestdanmark'!J167+'Resultater - Østdanmark'!J167</f>
        <v>991.33076422966542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2024635.254957163</v>
      </c>
      <c r="J168" s="282">
        <f>'Resultater - Vestdanmark'!J168+'Resultater - Østdanmark'!J168</f>
        <v>1896041.6577530119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-6670398.9564645123</v>
      </c>
      <c r="J169" s="282">
        <f>'Resultater - Vestdanmark'!J169+'Resultater - Østdanmark'!J169</f>
        <v>-6246732.227112446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101109.65690796172</v>
      </c>
      <c r="J170" s="282">
        <f>'Resultater - Vestdanmark'!J170+'Resultater - Østdanmark'!J170</f>
        <v>94687.732533169838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74311.214987708983</v>
      </c>
      <c r="J171" s="282">
        <f>'Resultater - Vestdanmark'!J171+'Resultater - Østdanmark'!J171</f>
        <v>70874.858225271571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-163218.02480849379</v>
      </c>
      <c r="J172" s="282">
        <f>'Resultater - Vestdanmark'!J172+'Resultater - Østdanmark'!J172</f>
        <v>-155670.37048208943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21751.106400017437</v>
      </c>
      <c r="J173" s="282">
        <f>'Resultater - Vestdanmark'!J173+'Resultater - Østdanmark'!J173</f>
        <v>20745.274890190038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72574.62699914843</v>
      </c>
      <c r="J174" s="282">
        <f>'Resultater - Vestdanmark'!J174+'Resultater - Østdanmark'!J174</f>
        <v>69218.574883580863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-102473.84736491642</v>
      </c>
      <c r="J175" s="282">
        <f>'Resultater - Vestdanmark'!J175+'Resultater - Østdanmark'!J175</f>
        <v>-97735.172342261329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46627.529754982352</v>
      </c>
      <c r="J176" s="282">
        <f>'Resultater - Vestdanmark'!J176+'Resultater - Østdanmark'!J176</f>
        <v>44471.343407931141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180110.61603347247</v>
      </c>
      <c r="J177" s="282">
        <f>'Resultater - Vestdanmark'!J177+'Resultater - Østdanmark'!J177</f>
        <v>229248.67316468229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-593395.60658953083</v>
      </c>
      <c r="J178" s="282">
        <f>'Resultater - Vestdanmark'!J178+'Resultater - Østdanmark'!J178</f>
        <v>-755286.71473268664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15780.119864248361</v>
      </c>
      <c r="J179" s="282">
        <f>'Resultater - Vestdanmark'!J179+'Resultater - Østdanmark'!J179</f>
        <v>20085.276597945118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6610.6913217389683</v>
      </c>
      <c r="J180" s="282">
        <f>'Resultater - Vestdanmark'!J180+'Resultater - Østdanmark'!J180</f>
        <v>8569.4146763282897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-14519.800010420344</v>
      </c>
      <c r="J181" s="282">
        <f>'Resultater - Vestdanmark'!J181+'Resultater - Østdanmark'!J181</f>
        <v>-18821.962976470812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3394.6813456674618</v>
      </c>
      <c r="J182" s="282">
        <f>'Resultater - Vestdanmark'!J182+'Resultater - Østdanmark'!J182</f>
        <v>4400.512855494856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6456.2052573230876</v>
      </c>
      <c r="J183" s="282">
        <f>'Resultater - Vestdanmark'!J183+'Resultater - Østdanmark'!J183</f>
        <v>8369.1549631965936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-9116.0260748327401</v>
      </c>
      <c r="J184" s="282">
        <f>'Resultater - Vestdanmark'!J184+'Resultater - Østdanmark'!J184</f>
        <v>-11817.070837746141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7277.1289212978236</v>
      </c>
      <c r="J185" s="282">
        <f>'Resultater - Vestdanmark'!J185+'Resultater - Østdanmark'!J185</f>
        <v>9433.3152683490316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10977496.633408947</v>
      </c>
      <c r="J186" s="282">
        <f>'Resultater - Vestdanmark'!J186+'Resultater - Østdanmark'!J186</f>
        <v>10288049.550353374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-31987733.23110842</v>
      </c>
      <c r="J187" s="282">
        <f>'Resultater - Vestdanmark'!J187+'Resultater - Østdanmark'!J187</f>
        <v>-29978727.889888018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469227.92823354003</v>
      </c>
      <c r="J188" s="282">
        <f>'Resultater - Vestdanmark'!J188+'Resultater - Østdanmark'!J188</f>
        <v>439757.8370814044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1210547.8725060404</v>
      </c>
      <c r="J189" s="282">
        <f>'Resultater - Vestdanmark'!J189+'Resultater - Østdanmark'!J189</f>
        <v>1154568.7801358185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-2465429.1681735362</v>
      </c>
      <c r="J190" s="282">
        <f>'Resultater - Vestdanmark'!J190+'Resultater - Østdanmark'!J190</f>
        <v>-2351420.8829400772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303279.92109319306</v>
      </c>
      <c r="J191" s="282">
        <f>'Resultater - Vestdanmark'!J191+'Resultater - Østdanmark'!J191</f>
        <v>289255.41607154248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1422541.4955528916</v>
      </c>
      <c r="J192" s="282">
        <f>'Resultater - Vestdanmark'!J192+'Resultater - Østdanmark'!J192</f>
        <v>1356759.2298625843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-2005740.1205592891</v>
      </c>
      <c r="J193" s="282">
        <f>'Resultater - Vestdanmark'!J193+'Resultater - Østdanmark'!J193</f>
        <v>-1912989.1323253333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782271.01331188029</v>
      </c>
      <c r="J194" s="282">
        <f>'Resultater - Vestdanmark'!J194+'Resultater - Østdanmark'!J194</f>
        <v>746096.63119341177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1336335.7173386849</v>
      </c>
      <c r="J195" s="282">
        <f>'Resultater - Vestdanmark'!J195+'Resultater - Østdanmark'!J195</f>
        <v>1702204.5619675585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-3893998.0453592101</v>
      </c>
      <c r="J196" s="282">
        <f>'Resultater - Vestdanmark'!J196+'Resultater - Østdanmark'!J196</f>
        <v>-4960116.7963269278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73232.104406390645</v>
      </c>
      <c r="J197" s="282">
        <f>'Resultater - Vestdanmark'!J197+'Resultater - Østdanmark'!J197</f>
        <v>93281.965441510023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147364.96066460814</v>
      </c>
      <c r="J198" s="282">
        <f>'Resultater - Vestdanmark'!J198+'Resultater - Østdanmark'!J198</f>
        <v>191028.6527133809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-300126.81087707903</v>
      </c>
      <c r="J199" s="282">
        <f>'Resultater - Vestdanmark'!J199+'Resultater - Østdanmark'!J199</f>
        <v>-389053.27335917647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47332.704448070595</v>
      </c>
      <c r="J200" s="282">
        <f>'Resultater - Vestdanmark'!J200+'Resultater - Østdanmark'!J200</f>
        <v>61357.209469721136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173171.81442973349</v>
      </c>
      <c r="J201" s="282">
        <f>'Resultater - Vestdanmark'!J201+'Resultater - Østdanmark'!J201</f>
        <v>224481.98166817299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-244166.97652588805</v>
      </c>
      <c r="J202" s="282">
        <f>'Resultater - Vestdanmark'!J202+'Resultater - Østdanmark'!J202</f>
        <v>-316512.74734837335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122088.53964983103</v>
      </c>
      <c r="J203" s="282">
        <f>'Resultater - Vestdanmark'!J203+'Resultater - Østdanmark'!J203</f>
        <v>158262.92176829945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261152.46068040878</v>
      </c>
      <c r="J204" s="282">
        <f>'Resultater - Vestdanmark'!J204+'Resultater - Østdanmark'!J204</f>
        <v>244698.07513625757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71902.885248768187</v>
      </c>
      <c r="J205" s="282">
        <f>'Resultater - Vestdanmark'!J205+'Resultater - Østdanmark'!J205</f>
        <v>67372.513248682139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143497.42839494569</v>
      </c>
      <c r="J207" s="282">
        <f>'Resultater - Vestdanmark'!J207+'Resultater - Østdanmark'!J207</f>
        <v>134456.11204949414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9448.4072313431316</v>
      </c>
      <c r="J208" s="282">
        <f>'Resultater - Vestdanmark'!J208+'Resultater - Østdanmark'!J208</f>
        <v>9011.4866657318871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2601.4219401527612</v>
      </c>
      <c r="J209" s="282">
        <f>'Resultater - Vestdanmark'!J209+'Resultater - Østdanmark'!J209</f>
        <v>2481.1249718219974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30429.144897109905</v>
      </c>
      <c r="J211" s="282">
        <f>'Resultater - Vestdanmark'!J211+'Resultater - Østdanmark'!J211</f>
        <v>29022.016809382279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3670.910054503971</v>
      </c>
      <c r="J212" s="282">
        <f>'Resultater - Vestdanmark'!J212+'Resultater - Østdanmark'!J212</f>
        <v>3501.1569883997413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1010.7085482551205</v>
      </c>
      <c r="J213" s="282">
        <f>'Resultater - Vestdanmark'!J213+'Resultater - Østdanmark'!J213</f>
        <v>963.97058070575076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25949.888315623026</v>
      </c>
      <c r="J215" s="282">
        <f>'Resultater - Vestdanmark'!J215+'Resultater - Østdanmark'!J215</f>
        <v>24749.893480218496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23232.002137985502</v>
      </c>
      <c r="J216" s="282">
        <f>'Resultater - Vestdanmark'!J216+'Resultater - Østdanmark'!J216</f>
        <v>29586.221811929325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6396.4474218412861</v>
      </c>
      <c r="J217" s="282">
        <f>'Resultater - Vestdanmark'!J217+'Resultater - Østdanmark'!J217</f>
        <v>8145.9493291588406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22395.552408459735</v>
      </c>
      <c r="J219" s="282">
        <f>'Resultater - Vestdanmark'!J219+'Resultater - Østdanmark'!J219</f>
        <v>28520.993465044212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840.52593809462883</v>
      </c>
      <c r="J220" s="282">
        <f>'Resultater - Vestdanmark'!J220+'Resultater - Østdanmark'!J220</f>
        <v>1089.5706604930374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231.42129282630628</v>
      </c>
      <c r="J221" s="282">
        <f>'Resultater - Vestdanmark'!J221+'Resultater - Østdanmark'!J221</f>
        <v>299.99056477484146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4749.0572960807376</v>
      </c>
      <c r="J223" s="282">
        <f>'Resultater - Vestdanmark'!J223+'Resultater - Østdanmark'!J223</f>
        <v>6156.1853838083616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326.56246091801216</v>
      </c>
      <c r="J224" s="282">
        <f>'Resultater - Vestdanmark'!J224+'Resultater - Østdanmark'!J224</f>
        <v>423.32170859742314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89.912165073100027</v>
      </c>
      <c r="J225" s="282">
        <f>'Resultater - Vestdanmark'!J225+'Resultater - Østdanmark'!J225</f>
        <v>116.55280657624074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4049.9825694902988</v>
      </c>
      <c r="J227" s="282">
        <f>'Resultater - Vestdanmark'!J227+'Resultater - Østdanmark'!J227</f>
        <v>5249.977404894832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2531835.1857061931</v>
      </c>
      <c r="J228" s="282">
        <f>'Resultater - Vestdanmark'!J228+'Resultater - Østdanmark'!J228</f>
        <v>2394420.7086597574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-3924018.9896024987</v>
      </c>
      <c r="J229" s="282">
        <f>'Resultater - Vestdanmark'!J229+'Resultater - Østdanmark'!J229</f>
        <v>-3711044.2191985128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66089.036107890293</v>
      </c>
      <c r="J230" s="282">
        <f>'Resultater - Vestdanmark'!J230+'Resultater - Østdanmark'!J230</f>
        <v>62502.07658282324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12717.640896460449</v>
      </c>
      <c r="J231" s="282">
        <f>'Resultater - Vestdanmark'!J231+'Resultater - Østdanmark'!J231</f>
        <v>12129.541895468059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-12775.458973644028</v>
      </c>
      <c r="J232" s="282">
        <f>'Resultater - Vestdanmark'!J232+'Resultater - Østdanmark'!J232</f>
        <v>-12184.686304342569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1945.7260505796646</v>
      </c>
      <c r="J233" s="282">
        <f>'Resultater - Vestdanmark'!J233+'Resultater - Østdanmark'!J233</f>
        <v>1855.7502794545933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5438.8494240816599</v>
      </c>
      <c r="J234" s="282">
        <f>'Resultater - Vestdanmark'!J234+'Resultater - Østdanmark'!J234</f>
        <v>5187.3419362628547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-3345.0465355545793</v>
      </c>
      <c r="J235" s="282">
        <f>'Resultater - Vestdanmark'!J235+'Resultater - Østdanmark'!J235</f>
        <v>-3190.3623026965643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1826.4709782539626</v>
      </c>
      <c r="J236" s="282">
        <f>'Resultater - Vestdanmark'!J236+'Resultater - Østdanmark'!J236</f>
        <v>1742.0098925543575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225230.88732958562</v>
      </c>
      <c r="J237" s="282">
        <f>'Resultater - Vestdanmark'!J237+'Resultater - Østdanmark'!J237</f>
        <v>289507.23113795248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-349078.91473978292</v>
      </c>
      <c r="J238" s="282">
        <f>'Resultater - Vestdanmark'!J238+'Resultater - Østdanmark'!J238</f>
        <v>-448698.98286672926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10314.473843427966</v>
      </c>
      <c r="J239" s="282">
        <f>'Resultater - Vestdanmark'!J239+'Resultater - Østdanmark'!J239</f>
        <v>13258.016244841294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1131.3554531591117</v>
      </c>
      <c r="J240" s="282">
        <f>'Resultater - Vestdanmark'!J240+'Resultater - Østdanmark'!J240</f>
        <v>1466.5718837247741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-1136.4989225686797</v>
      </c>
      <c r="J241" s="282">
        <f>'Resultater - Vestdanmark'!J241+'Resultater - Østdanmark'!J241</f>
        <v>-1473.2393440705107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303.66822754711529</v>
      </c>
      <c r="J242" s="282">
        <f>'Resultater - Vestdanmark'!J242+'Resultater - Østdanmark'!J242</f>
        <v>393.64399867218651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483.83752969142631</v>
      </c>
      <c r="J243" s="282">
        <f>'Resultater - Vestdanmark'!J243+'Resultater - Østdanmark'!J243</f>
        <v>627.19679774814506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-297.5737929606068</v>
      </c>
      <c r="J244" s="282">
        <f>'Resultater - Vestdanmark'!J244+'Resultater - Østdanmark'!J244</f>
        <v>-385.74380568967541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285.0561642361676</v>
      </c>
      <c r="J245" s="282">
        <f>'Resultater - Vestdanmark'!J245+'Resultater - Østdanmark'!J245</f>
        <v>369.51724993577272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38469.5604206551</v>
      </c>
      <c r="J246" s="282">
        <f>'Resultater - Vestdanmark'!J246+'Resultater - Østdanmark'!J246</f>
        <v>36173.996116215385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-591756.15505640011</v>
      </c>
      <c r="J247" s="282">
        <f>'Resultater - Vestdanmark'!J247+'Resultater - Østdanmark'!J247</f>
        <v>-556444.74802117434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8308.6552922801311</v>
      </c>
      <c r="J248" s="282">
        <f>'Resultater - Vestdanmark'!J248+'Resultater - Østdanmark'!J248</f>
        <v>7812.8593357292048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1055.4891695522883</v>
      </c>
      <c r="J249" s="282">
        <f>'Resultater - Vestdanmark'!J249+'Resultater - Østdanmark'!J249</f>
        <v>1006.6804218273271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-13530.009307969169</v>
      </c>
      <c r="J250" s="282">
        <f>'Resultater - Vestdanmark'!J250+'Resultater - Østdanmark'!J250</f>
        <v>-12904.344137658456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1030.3773145057196</v>
      </c>
      <c r="J251" s="282">
        <f>'Resultater - Vestdanmark'!J251+'Resultater - Østdanmark'!J251</f>
        <v>982.72980863262285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700.00679848931259</v>
      </c>
      <c r="J252" s="282">
        <f>'Resultater - Vestdanmark'!J252+'Resultater - Østdanmark'!J252</f>
        <v>667.63654191177216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-7691.3005477176011</v>
      </c>
      <c r="J253" s="282">
        <f>'Resultater - Vestdanmark'!J253+'Resultater - Østdanmark'!J253</f>
        <v>-7335.6334703664988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1565.8221249965761</v>
      </c>
      <c r="J254" s="282">
        <f>'Resultater - Vestdanmark'!J254+'Resultater - Østdanmark'!J254</f>
        <v>1493.4141654591622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3422.2343056293757</v>
      </c>
      <c r="J255" s="282">
        <f>'Resultater - Vestdanmark'!J255+'Resultater - Østdanmark'!J255</f>
        <v>4373.7649849605878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-52642.353909352598</v>
      </c>
      <c r="J256" s="282">
        <f>'Resultater - Vestdanmark'!J256+'Resultater - Østdanmark'!J256</f>
        <v>-67279.228624378346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1296.726548506148</v>
      </c>
      <c r="J257" s="282">
        <f>'Resultater - Vestdanmark'!J257+'Resultater - Østdanmark'!J257</f>
        <v>1657.2731924274071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93.895828435894316</v>
      </c>
      <c r="J258" s="282">
        <f>'Resultater - Vestdanmark'!J258+'Resultater - Østdanmark'!J258</f>
        <v>121.71681463912225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-1203.6233713852341</v>
      </c>
      <c r="J259" s="282">
        <f>'Resultater - Vestdanmark'!J259+'Resultater - Østdanmark'!J259</f>
        <v>-1560.2525184623403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160.81033232170194</v>
      </c>
      <c r="J260" s="282">
        <f>'Resultater - Vestdanmark'!J260+'Resultater - Østdanmark'!J260</f>
        <v>208.45783819479874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62.272281091043467</v>
      </c>
      <c r="J261" s="282">
        <f>'Resultater - Vestdanmark'!J261+'Resultater - Østdanmark'!J261</f>
        <v>80.723327340241525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-684.21454005418434</v>
      </c>
      <c r="J262" s="282">
        <f>'Resultater - Vestdanmark'!J262+'Resultater - Østdanmark'!J262</f>
        <v>-886.94477414431287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244.37686343877201</v>
      </c>
      <c r="J263" s="282">
        <f>'Resultater - Vestdanmark'!J263+'Resultater - Østdanmark'!J263</f>
        <v>316.78482297618586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1834479.4098559336</v>
      </c>
      <c r="J264" s="282">
        <f>'Resultater - Vestdanmark'!J264+'Resultater - Østdanmark'!J264</f>
        <v>1721127.8853638773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-8160261.0331966113</v>
      </c>
      <c r="J265" s="282">
        <f>'Resultater - Vestdanmark'!J265+'Resultater - Østdanmark'!J265</f>
        <v>-7656042.7664794084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130584.91177752649</v>
      </c>
      <c r="J266" s="282">
        <f>'Resultater - Vestdanmark'!J266+'Resultater - Østdanmark'!J266</f>
        <v>122516.13829000843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57444.082827082631</v>
      </c>
      <c r="J267" s="282">
        <f>'Resultater - Vestdanmark'!J267+'Resultater - Østdanmark'!J267</f>
        <v>54787.709054731989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-187336.38658197131</v>
      </c>
      <c r="J268" s="282">
        <f>'Resultater - Vestdanmark'!J268+'Resultater - Østdanmark'!J268</f>
        <v>-178673.43228916338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23966.60990502391</v>
      </c>
      <c r="J269" s="282">
        <f>'Resultater - Vestdanmark'!J269+'Resultater - Østdanmark'!J269</f>
        <v>22858.327366063266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37720.147934227949</v>
      </c>
      <c r="J270" s="282">
        <f>'Resultater - Vestdanmark'!J270+'Resultater - Østdanmark'!J270</f>
        <v>35975.8636366914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-91029.455811645093</v>
      </c>
      <c r="J271" s="282">
        <f>'Resultater - Vestdanmark'!J271+'Resultater - Østdanmark'!J271</f>
        <v>-86820.001207638372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34543.417323586204</v>
      </c>
      <c r="J272" s="282">
        <f>'Resultater - Vestdanmark'!J272+'Resultater - Østdanmark'!J272</f>
        <v>32946.03386353598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163194.4399866059</v>
      </c>
      <c r="J273" s="282">
        <f>'Resultater - Vestdanmark'!J273+'Resultater - Østdanmark'!J273</f>
        <v>208100.00795763242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-725933.04798205709</v>
      </c>
      <c r="J274" s="282">
        <f>'Resultater - Vestdanmark'!J274+'Resultater - Østdanmark'!J274</f>
        <v>-925685.17085614649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20380.304150249798</v>
      </c>
      <c r="J275" s="282">
        <f>'Resultater - Vestdanmark'!J275+'Resultater - Østdanmark'!J275</f>
        <v>25988.271758486637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5110.1990445595475</v>
      </c>
      <c r="J276" s="282">
        <f>'Resultater - Vestdanmark'!J276+'Resultater - Østdanmark'!J276</f>
        <v>6624.3320947994125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-16665.358320789241</v>
      </c>
      <c r="J277" s="282">
        <f>'Resultater - Vestdanmark'!J277+'Resultater - Østdanmark'!J277</f>
        <v>-21603.242267689755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3740.4535689921718</v>
      </c>
      <c r="J278" s="282">
        <f>'Resultater - Vestdanmark'!J278+'Resultater - Østdanmark'!J278</f>
        <v>4848.7361079528146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3355.5669173859433</v>
      </c>
      <c r="J279" s="282">
        <f>'Resultater - Vestdanmark'!J279+'Resultater - Østdanmark'!J279</f>
        <v>4349.8089669817764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-8097.9382944579065</v>
      </c>
      <c r="J280" s="282">
        <f>'Resultater - Vestdanmark'!J280+'Resultater - Østdanmark'!J280</f>
        <v>-10497.327418741728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5391.1691776695243</v>
      </c>
      <c r="J281" s="282">
        <f>'Resultater - Vestdanmark'!J281+'Resultater - Østdanmark'!J281</f>
        <v>6988.5526377197521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7047151.4475626573</v>
      </c>
      <c r="J282" s="282">
        <f>'Resultater - Vestdanmark'!J282+'Resultater - Østdanmark'!J282</f>
        <v>6599054.342859488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-23630951.446640048</v>
      </c>
      <c r="J283" s="282">
        <f>'Resultater - Vestdanmark'!J283+'Resultater - Østdanmark'!J283</f>
        <v>-22128364.05322127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335809.75751592423</v>
      </c>
      <c r="J284" s="282">
        <f>'Resultater - Vestdanmark'!J284+'Resultater - Østdanmark'!J284</f>
        <v>314457.10443423089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263018.19279247633</v>
      </c>
      <c r="J285" s="282">
        <f>'Resultater - Vestdanmark'!J285+'Resultater - Østdanmark'!J285</f>
        <v>250855.50179629249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-597166.60922495753</v>
      </c>
      <c r="J286" s="282">
        <f>'Resultater - Vestdanmark'!J286+'Resultater - Østdanmark'!J286</f>
        <v>-569551.96833594213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73459.276163024173</v>
      </c>
      <c r="J287" s="282">
        <f>'Resultater - Vestdanmark'!J287+'Resultater - Østdanmark'!J287</f>
        <v>70062.315415601101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101980.54241912819</v>
      </c>
      <c r="J288" s="282">
        <f>'Resultater - Vestdanmark'!J288+'Resultater - Østdanmark'!J288</f>
        <v>97264.679185873712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-152664.09314587104</v>
      </c>
      <c r="J289" s="282">
        <f>'Resultater - Vestdanmark'!J289+'Resultater - Østdanmark'!J289</f>
        <v>-145604.48190213135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62518.532833990423</v>
      </c>
      <c r="J290" s="282">
        <f>'Resultater - Vestdanmark'!J290+'Resultater - Østdanmark'!J290</f>
        <v>59627.502413921495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912870.889825891</v>
      </c>
      <c r="J291" s="282">
        <f>'Resultater - Vestdanmark'!J291+'Resultater - Østdanmark'!J291</f>
        <v>1161833.5070307159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-3061096.0804578238</v>
      </c>
      <c r="J292" s="282">
        <f>'Resultater - Vestdanmark'!J292+'Resultater - Østdanmark'!J292</f>
        <v>-3895933.1863398654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52409.615334855233</v>
      </c>
      <c r="J293" s="282">
        <f>'Resultater - Vestdanmark'!J293+'Resultater - Østdanmark'!J293</f>
        <v>66703.022152715639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34070.738153060083</v>
      </c>
      <c r="J294" s="282">
        <f>'Resultater - Vestdanmark'!J294+'Resultater - Østdanmark'!J294</f>
        <v>44165.771679892699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-77355.512790354318</v>
      </c>
      <c r="J295" s="282">
        <f>'Resultater - Vestdanmark'!J295+'Resultater - Østdanmark'!J295</f>
        <v>-100275.66472823705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11464.742522552908</v>
      </c>
      <c r="J296" s="282">
        <f>'Resultater - Vestdanmark'!J296+'Resultater - Østdanmark'!J296</f>
        <v>14861.703269975989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13210.311882154119</v>
      </c>
      <c r="J297" s="282">
        <f>'Resultater - Vestdanmark'!J297+'Resultater - Østdanmark'!J297</f>
        <v>17124.478365755338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-19775.73599652584</v>
      </c>
      <c r="J298" s="282">
        <f>'Resultater - Vestdanmark'!J298+'Resultater - Østdanmark'!J298</f>
        <v>-25635.213328829788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9757.2276677326081</v>
      </c>
      <c r="J299" s="282">
        <f>'Resultater - Vestdanmark'!J299+'Resultater - Østdanmark'!J299</f>
        <v>12648.258087801529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636884.42782686418</v>
      </c>
      <c r="J300" s="282">
        <f>'Resultater - Vestdanmark'!J300+'Resultater - Østdanmark'!J300</f>
        <v>598167.48836302839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315471.67087319482</v>
      </c>
      <c r="J301" s="282">
        <f>'Resultater - Vestdanmark'!J301+'Resultater - Østdanmark'!J301</f>
        <v>296293.78388131346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-23629319.638250768</v>
      </c>
      <c r="J302" s="282">
        <f>'Resultater - Vestdanmark'!J302+'Resultater - Østdanmark'!J302</f>
        <v>-22192866.024323683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307004.86268002487</v>
      </c>
      <c r="J303" s="282">
        <f>'Resultater - Vestdanmark'!J303+'Resultater - Østdanmark'!J303</f>
        <v>288341.68273065262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12897.628648138445</v>
      </c>
      <c r="J304" s="282">
        <f>'Resultater - Vestdanmark'!J304+'Resultater - Østdanmark'!J304</f>
        <v>12301.20651412048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6388.6574740312617</v>
      </c>
      <c r="J305" s="282">
        <f>'Resultater - Vestdanmark'!J305+'Resultater - Østdanmark'!J305</f>
        <v>6093.2282266772145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-330406.94149636658</v>
      </c>
      <c r="J306" s="282">
        <f>'Resultater - Vestdanmark'!J306+'Resultater - Østdanmark'!J306</f>
        <v>-315128.00778555189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36439.771209003746</v>
      </c>
      <c r="J307" s="282">
        <f>'Resultater - Vestdanmark'!J307+'Resultater - Østdanmark'!J307</f>
        <v>34754.695083731895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6115.4142949364787</v>
      </c>
      <c r="J308" s="282">
        <f>'Resultater - Vestdanmark'!J308+'Resultater - Østdanmark'!J308</f>
        <v>5832.6205703151372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3029.1837598985721</v>
      </c>
      <c r="J309" s="282">
        <f>'Resultater - Vestdanmark'!J309+'Resultater - Østdanmark'!J309</f>
        <v>2889.1058981691581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-106499.66138024796</v>
      </c>
      <c r="J310" s="282">
        <f>'Resultater - Vestdanmark'!J310+'Resultater - Østdanmark'!J310</f>
        <v>-101574.82154763532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37924.709418127022</v>
      </c>
      <c r="J311" s="282">
        <f>'Resultater - Vestdanmark'!J311+'Resultater - Østdanmark'!J311</f>
        <v>36170.965630005536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54668.981232537204</v>
      </c>
      <c r="J312" s="282">
        <f>'Resultater - Vestdanmark'!J312+'Resultater - Østdanmark'!J312</f>
        <v>69786.206975686655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27079.504696340715</v>
      </c>
      <c r="J313" s="282">
        <f>'Resultater - Vestdanmark'!J313+'Resultater - Østdanmark'!J313</f>
        <v>34567.608119486569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-2028297.0903353989</v>
      </c>
      <c r="J314" s="282">
        <f>'Resultater - Vestdanmark'!J314+'Resultater - Østdanmark'!J314</f>
        <v>-2589167.7028377634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47914.053713067478</v>
      </c>
      <c r="J315" s="282">
        <f>'Resultater - Vestdanmark'!J315+'Resultater - Østdanmark'!J315</f>
        <v>61163.38724589601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1107.1085862708433</v>
      </c>
      <c r="J316" s="282">
        <f>'Resultater - Vestdanmark'!J316+'Resultater - Østdanmark'!J316</f>
        <v>1435.140759980723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548.39054040094936</v>
      </c>
      <c r="J317" s="282">
        <f>'Resultater - Vestdanmark'!J317+'Resultater - Østdanmark'!J317</f>
        <v>710.87662644567502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-28361.520700699672</v>
      </c>
      <c r="J318" s="282">
        <f>'Resultater - Vestdanmark'!J318+'Resultater - Østdanmark'!J318</f>
        <v>-36764.934241647723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5687.1319227924914</v>
      </c>
      <c r="J319" s="282">
        <f>'Resultater - Vestdanmark'!J319+'Resultater - Østdanmark'!J319</f>
        <v>7372.2080480643417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524.93585132836245</v>
      </c>
      <c r="J320" s="282">
        <f>'Resultater - Vestdanmark'!J320+'Resultater - Østdanmark'!J320</f>
        <v>680.47239987009948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260.01953083522426</v>
      </c>
      <c r="J321" s="282">
        <f>'Resultater - Vestdanmark'!J321+'Resultater - Østdanmark'!J321</f>
        <v>337.06235478640178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-9141.73393928718</v>
      </c>
      <c r="J322" s="282">
        <f>'Resultater - Vestdanmark'!J322+'Resultater - Østdanmark'!J322</f>
        <v>-11850.395847224121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5918.8852849099985</v>
      </c>
      <c r="J323" s="282">
        <f>'Resultater - Vestdanmark'!J323+'Resultater - Østdanmark'!J323</f>
        <v>7672.6290730314777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1292293.5165717863</v>
      </c>
      <c r="J324" s="282">
        <f>'Resultater - Vestdanmark'!J324+'Resultater - Østdanmark'!J324</f>
        <v>1215795.6449854798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199104.36392636053</v>
      </c>
      <c r="J325" s="282">
        <f>'Resultater - Vestdanmark'!J325+'Resultater - Østdanmark'!J325</f>
        <v>187318.29530603884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-12654938.385150034</v>
      </c>
      <c r="J326" s="282">
        <f>'Resultater - Vestdanmark'!J326+'Resultater - Østdanmark'!J326</f>
        <v>-11905823.854197383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191823.08084794122</v>
      </c>
      <c r="J327" s="282">
        <f>'Resultater - Vestdanmark'!J327+'Resultater - Østdanmark'!J327</f>
        <v>180468.03091708419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80551.279211464556</v>
      </c>
      <c r="J328" s="282">
        <f>'Resultater - Vestdanmark'!J328+'Resultater - Østdanmark'!J328</f>
        <v>76826.364565847703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12410.579334483886</v>
      </c>
      <c r="J329" s="282">
        <f>'Resultater - Vestdanmark'!J329+'Resultater - Østdanmark'!J329</f>
        <v>11836.679712080007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-591606.0064107785</v>
      </c>
      <c r="J330" s="282">
        <f>'Resultater - Vestdanmark'!J330+'Resultater - Østdanmark'!J330</f>
        <v>-564248.50322415296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70079.869929554174</v>
      </c>
      <c r="J331" s="282">
        <f>'Resultater - Vestdanmark'!J331+'Resultater - Østdanmark'!J331</f>
        <v>66839.182302753994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69042.756012718266</v>
      </c>
      <c r="J332" s="282">
        <f>'Resultater - Vestdanmark'!J332+'Resultater - Østdanmark'!J332</f>
        <v>65850.027410974057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10637.45491512071</v>
      </c>
      <c r="J333" s="282">
        <f>'Resultater - Vestdanmark'!J333+'Resultater - Østdanmark'!J333</f>
        <v>10145.549485519754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-386348.24146927526</v>
      </c>
      <c r="J334" s="282">
        <f>'Resultater - Vestdanmark'!J334+'Resultater - Østdanmark'!J334</f>
        <v>-368482.42683485791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131846.7925338769</v>
      </c>
      <c r="J335" s="282">
        <f>'Resultater - Vestdanmark'!J335+'Resultater - Østdanmark'!J335</f>
        <v>125749.83102942017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114961.8336418485</v>
      </c>
      <c r="J336" s="282">
        <f>'Resultater - Vestdanmark'!J336+'Resultater - Østdanmark'!J336</f>
        <v>147000.74616642622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17712.23214350687</v>
      </c>
      <c r="J337" s="282">
        <f>'Resultater - Vestdanmark'!J337+'Resultater - Østdanmark'!J337</f>
        <v>22648.484796093784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-1125777.4667483179</v>
      </c>
      <c r="J338" s="282">
        <f>'Resultater - Vestdanmark'!J338+'Resultater - Østdanmark'!J338</f>
        <v>-1439522.3387347744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29937.706259505281</v>
      </c>
      <c r="J339" s="282">
        <f>'Resultater - Vestdanmark'!J339+'Resultater - Østdanmark'!J339</f>
        <v>38281.097467260282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7165.8045495054303</v>
      </c>
      <c r="J340" s="282">
        <f>'Resultater - Vestdanmark'!J340+'Resultater - Østdanmark'!J340</f>
        <v>9289.0058975070406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1104.0393985994624</v>
      </c>
      <c r="J341" s="282">
        <f>'Resultater - Vestdanmark'!J341+'Resultater - Østdanmark'!J341</f>
        <v>1431.1621833696736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-52628.996755270993</v>
      </c>
      <c r="J342" s="282">
        <f>'Resultater - Vestdanmark'!J342+'Resultater - Østdanmark'!J342</f>
        <v>-68222.773571647573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10937.320740450652</v>
      </c>
      <c r="J343" s="282">
        <f>'Resultater - Vestdanmark'!J343+'Resultater - Østdanmark'!J343</f>
        <v>14178.008367250844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6142.011647605399</v>
      </c>
      <c r="J344" s="282">
        <f>'Resultater - Vestdanmark'!J344+'Resultater - Østdanmark'!J344</f>
        <v>7961.8669505995913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946.30307019484246</v>
      </c>
      <c r="J345" s="282">
        <f>'Resultater - Vestdanmark'!J345+'Resultater - Østdanmark'!J345</f>
        <v>1226.6891650673883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-34369.360902960383</v>
      </c>
      <c r="J346" s="282">
        <f>'Resultater - Vestdanmark'!J346+'Resultater - Østdanmark'!J346</f>
        <v>-44552.875244578274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20577.245077541484</v>
      </c>
      <c r="J347" s="282">
        <f>'Resultater - Vestdanmark'!J347+'Resultater - Østdanmark'!J347</f>
        <v>26674.20658199822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832681.84288694861</v>
      </c>
      <c r="J348" s="282">
        <f>'Resultater - Vestdanmark'!J348+'Resultater - Østdanmark'!J348</f>
        <v>780862.4344128652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-1708861.990999335</v>
      </c>
      <c r="J349" s="282">
        <f>'Resultater - Vestdanmark'!J349+'Resultater - Østdanmark'!J349</f>
        <v>-1602516.1900264022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30537.276277430748</v>
      </c>
      <c r="J350" s="282">
        <f>'Resultater - Vestdanmark'!J350+'Resultater - Østdanmark'!J350</f>
        <v>28636.882259446902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26748.811950428641</v>
      </c>
      <c r="J351" s="282">
        <f>'Resultater - Vestdanmark'!J351+'Resultater - Østdanmark'!J351</f>
        <v>25511.872669483968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-41587.083256263431</v>
      </c>
      <c r="J352" s="282">
        <f>'Resultater - Vestdanmark'!J352+'Resultater - Østdanmark'!J352</f>
        <v>-39663.981140366857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4433.887713134528</v>
      </c>
      <c r="J353" s="282">
        <f>'Resultater - Vestdanmark'!J353+'Resultater - Østdanmark'!J353</f>
        <v>4228.8524431629894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17533.026612413661</v>
      </c>
      <c r="J354" s="282">
        <f>'Resultater - Vestdanmark'!J354+'Resultater - Østdanmark'!J354</f>
        <v>16722.250815307831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-21028.416779280778</v>
      </c>
      <c r="J355" s="282">
        <f>'Resultater - Vestdanmark'!J355+'Resultater - Østdanmark'!J355</f>
        <v>-20056.004442666643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6659.3945341684866</v>
      </c>
      <c r="J356" s="282">
        <f>'Resultater - Vestdanmark'!J356+'Resultater - Østdanmark'!J356</f>
        <v>6351.4456539757248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74074.991688035487</v>
      </c>
      <c r="J357" s="282">
        <f>'Resultater - Vestdanmark'!J357+'Resultater - Østdanmark'!J357</f>
        <v>94413.367069919143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-152019.57249410267</v>
      </c>
      <c r="J358" s="282">
        <f>'Resultater - Vestdanmark'!J358+'Resultater - Østdanmark'!J358</f>
        <v>-193758.77570319222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4765.9332918533546</v>
      </c>
      <c r="J359" s="282">
        <f>'Resultater - Vestdanmark'!J359+'Resultater - Østdanmark'!J359</f>
        <v>6074.4901762463114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2379.5619417173225</v>
      </c>
      <c r="J360" s="282">
        <f>'Resultater - Vestdanmark'!J360+'Resultater - Østdanmark'!J360</f>
        <v>3084.6173318557881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-3699.5676954560363</v>
      </c>
      <c r="J361" s="282">
        <f>'Resultater - Vestdanmark'!J361+'Resultater - Østdanmark'!J361</f>
        <v>-4795.7359015170832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691.99403615394374</v>
      </c>
      <c r="J362" s="282">
        <f>'Resultater - Vestdanmark'!J362+'Resultater - Østdanmark'!J362</f>
        <v>897.02930612548255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1559.7299396823485</v>
      </c>
      <c r="J363" s="282">
        <f>'Resultater - Vestdanmark'!J363+'Resultater - Østdanmark'!J363</f>
        <v>2021.8721440326738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-1870.678232561452</v>
      </c>
      <c r="J364" s="282">
        <f>'Resultater - Vestdanmark'!J364+'Resultater - Østdanmark'!J364</f>
        <v>-2424.9532644315118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1039.3274706505731</v>
      </c>
      <c r="J365" s="282">
        <f>'Resultater - Vestdanmark'!J365+'Resultater - Østdanmark'!J365</f>
        <v>1347.2763508433356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156643.47190119475</v>
      </c>
      <c r="J366" s="282">
        <f>'Resultater - Vestdanmark'!J366+'Resultater - Østdanmark'!J366</f>
        <v>146964.55359536136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-718923.39715846837</v>
      </c>
      <c r="J367" s="282">
        <f>'Resultater - Vestdanmark'!J367+'Resultater - Østdanmark'!J367</f>
        <v>-674501.49597871071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11776.530603732615</v>
      </c>
      <c r="J368" s="282">
        <f>'Resultater - Vestdanmark'!J368+'Resultater - Østdanmark'!J368</f>
        <v>11048.864929215571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21901.094573449609</v>
      </c>
      <c r="J369" s="282">
        <f>'Resultater - Vestdanmark'!J369+'Resultater - Østdanmark'!J369</f>
        <v>20888.327194330555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-83763.514693230798</v>
      </c>
      <c r="J370" s="282">
        <f>'Resultater - Vestdanmark'!J370+'Resultater - Østdanmark'!J370</f>
        <v>-79890.057366376175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7442.1749400467033</v>
      </c>
      <c r="J371" s="282">
        <f>'Resultater - Vestdanmark'!J371+'Resultater - Østdanmark'!J371</f>
        <v>7098.0281220098623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20669.578921354339</v>
      </c>
      <c r="J372" s="282">
        <f>'Resultater - Vestdanmark'!J372+'Resultater - Østdanmark'!J372</f>
        <v>19713.760242910204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-67760.080152627503</v>
      </c>
      <c r="J373" s="282">
        <f>'Resultater - Vestdanmark'!J373+'Resultater - Østdanmark'!J373</f>
        <v>-64626.666041523327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16093.975790220891</v>
      </c>
      <c r="J374" s="282">
        <f>'Resultater - Vestdanmark'!J374+'Resultater - Østdanmark'!J374</f>
        <v>15349.745695875414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13934.9308240427</v>
      </c>
      <c r="J375" s="282">
        <f>'Resultater - Vestdanmark'!J375+'Resultater - Østdanmark'!J375</f>
        <v>17769.350571075505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-63955.09296109149</v>
      </c>
      <c r="J376" s="282">
        <f>'Resultater - Vestdanmark'!J376+'Resultater - Østdanmark'!J376</f>
        <v>-81553.362695607735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1837.9556433571138</v>
      </c>
      <c r="J377" s="282">
        <f>'Resultater - Vestdanmark'!J377+'Resultater - Østdanmark'!J377</f>
        <v>2343.6986213487576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1948.3112455802861</v>
      </c>
      <c r="J378" s="282">
        <f>'Resultater - Vestdanmark'!J378+'Resultater - Østdanmark'!J378</f>
        <v>2525.5886516781484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-7451.5635325365429</v>
      </c>
      <c r="J379" s="282">
        <f>'Resultater - Vestdanmark'!J379+'Resultater - Østdanmark'!J379</f>
        <v>-9659.4342088436642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1161.4955108743411</v>
      </c>
      <c r="J380" s="282">
        <f>'Resultater - Vestdanmark'!J380+'Resultater - Østdanmark'!J380</f>
        <v>1505.6423289111826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1838.7561826568972</v>
      </c>
      <c r="J381" s="282">
        <f>'Resultater - Vestdanmark'!J381+'Resultater - Østdanmark'!J381</f>
        <v>2383.5728293700517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-6027.9053962366306</v>
      </c>
      <c r="J382" s="282">
        <f>'Resultater - Vestdanmark'!J382+'Resultater - Østdanmark'!J382</f>
        <v>-7813.9514395660026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2511.7765684159772</v>
      </c>
      <c r="J383" s="282">
        <f>'Resultater - Vestdanmark'!J383+'Resultater - Østdanmark'!J383</f>
        <v>3256.0066627614515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2149257.1655585216</v>
      </c>
      <c r="J384" s="282">
        <f>'Resultater - Vestdanmark'!J384+'Resultater - Østdanmark'!J384</f>
        <v>2016588.5066376149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-7269412.8801644929</v>
      </c>
      <c r="J385" s="282">
        <f>'Resultater - Vestdanmark'!J385+'Resultater - Østdanmark'!J385</f>
        <v>-6820688.8868664792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285788.87906931207</v>
      </c>
      <c r="J386" s="282">
        <f>'Resultater - Vestdanmark'!J386+'Resultater - Østdanmark'!J386</f>
        <v>268147.79454568226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350840.45448944706</v>
      </c>
      <c r="J387" s="282">
        <f>'Resultater - Vestdanmark'!J387+'Resultater - Østdanmark'!J387</f>
        <v>334616.61844369222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-988870.38725834386</v>
      </c>
      <c r="J388" s="282">
        <f>'Resultater - Vestdanmark'!J388+'Resultater - Østdanmark'!J388</f>
        <v>-943142.2768648942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210860.67676010903</v>
      </c>
      <c r="J389" s="282">
        <f>'Resultater - Vestdanmark'!J389+'Resultater - Østdanmark'!J389</f>
        <v>201109.89401975714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429568.92499191454</v>
      </c>
      <c r="J390" s="282">
        <f>'Resultater - Vestdanmark'!J390+'Resultater - Østdanmark'!J390</f>
        <v>409704.46603275085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-1037805.0367140775</v>
      </c>
      <c r="J391" s="282">
        <f>'Resultater - Vestdanmark'!J391+'Resultater - Østdanmark'!J391</f>
        <v>-989814.05235735723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591584.03938923345</v>
      </c>
      <c r="J392" s="282">
        <f>'Resultater - Vestdanmark'!J392+'Resultater - Østdanmark'!J392</f>
        <v>564227.55201863311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335433.19924901793</v>
      </c>
      <c r="J393" s="282">
        <f>'Resultater - Vestdanmark'!J393+'Resultater - Østdanmark'!J393</f>
        <v>427761.19837767596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-1134532.6460372331</v>
      </c>
      <c r="J394" s="282">
        <f>'Resultater - Vestdanmark'!J394+'Resultater - Østdanmark'!J394</f>
        <v>-1446812.7941837986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44602.888640875302</v>
      </c>
      <c r="J395" s="282">
        <f>'Resultater - Vestdanmark'!J395+'Resultater - Østdanmark'!J395</f>
        <v>56879.835206659875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54755.446654422383</v>
      </c>
      <c r="J396" s="282">
        <f>'Resultater - Vestdanmark'!J396+'Resultater - Østdanmark'!J396</f>
        <v>70979.282700177151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-154332.37257789183</v>
      </c>
      <c r="J397" s="282">
        <f>'Resultater - Vestdanmark'!J397+'Resultater - Østdanmark'!J397</f>
        <v>-200060.4829713412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32908.891748687536</v>
      </c>
      <c r="J398" s="282">
        <f>'Resultater - Vestdanmark'!J398+'Resultater - Østdanmark'!J398</f>
        <v>42659.674489039389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67042.548987177404</v>
      </c>
      <c r="J399" s="282">
        <f>'Resultater - Vestdanmark'!J399+'Resultater - Østdanmark'!J399</f>
        <v>86907.007946341095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-161969.57220393119</v>
      </c>
      <c r="J400" s="282">
        <f>'Resultater - Vestdanmark'!J400+'Resultater - Østdanmark'!J400</f>
        <v>-209960.55656065154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92328.144875776328</v>
      </c>
      <c r="J401" s="282">
        <f>'Resultater - Vestdanmark'!J401+'Resultater - Østdanmark'!J401</f>
        <v>119684.63224637671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783291.25515859458</v>
      </c>
      <c r="J402" s="282">
        <f>'Resultater - Vestdanmark'!J402+'Resultater - Østdanmark'!J402</f>
        <v>712825.86568798381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848565.52642181097</v>
      </c>
      <c r="J403" s="282">
        <f>'Resultater - Vestdanmark'!J403+'Resultater - Østdanmark'!J403</f>
        <v>772228.02116198244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3349973.4189923876</v>
      </c>
      <c r="J404" s="282">
        <f>'Resultater - Vestdanmark'!J404+'Resultater - Østdanmark'!J404</f>
        <v>3287746.765328066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130414.81585263187</v>
      </c>
      <c r="J405" s="282">
        <f>'Resultater - Vestdanmark'!J405+'Resultater - Østdanmark'!J405</f>
        <v>127992.32571203879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17136.506803035827</v>
      </c>
      <c r="J406" s="282">
        <f>'Resultater - Vestdanmark'!J406+'Resultater - Østdanmark'!J406</f>
        <v>16818.191598561898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1736204.3992602557</v>
      </c>
      <c r="J407" s="282">
        <f>'Resultater - Vestdanmark'!J407+'Resultater - Østdanmark'!J407</f>
        <v>1703953.9374414468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1577683.1378100975</v>
      </c>
      <c r="J408" s="282">
        <f>'Resultater - Vestdanmark'!J408+'Resultater - Østdanmark'!J408</f>
        <v>1534334.8704746079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30225.931677220276</v>
      </c>
      <c r="J409" s="282">
        <f>'Resultater - Vestdanmark'!J409+'Resultater - Østdanmark'!J409</f>
        <v>29395.446939564357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140703.85058470169</v>
      </c>
      <c r="J410" s="282">
        <f>'Resultater - Vestdanmark'!J410+'Resultater - Østdanmark'!J410</f>
        <v>136837.88537020085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138832.55174855303</v>
      </c>
      <c r="J411" s="282">
        <f>'Resultater - Vestdanmark'!J411+'Resultater - Østdanmark'!J411</f>
        <v>135018.00215755089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113713.9338619913</v>
      </c>
      <c r="J412" s="282">
        <f>'Resultater - Vestdanmark'!J412+'Resultater - Østdanmark'!J412</f>
        <v>110093.6792842632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55152.179429823183</v>
      </c>
      <c r="J413" s="282">
        <f>'Resultater - Vestdanmark'!J413+'Resultater - Østdanmark'!J413</f>
        <v>53396.326622067689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7279.9033833851809</v>
      </c>
      <c r="J414" s="282">
        <f>'Resultater - Vestdanmark'!J414+'Resultater - Østdanmark'!J414</f>
        <v>7048.136680272929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74826.348700110961</v>
      </c>
      <c r="J415" s="282">
        <f>'Resultater - Vestdanmark'!J415+'Resultater - Østdanmark'!J415</f>
        <v>72444.139042805269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196872.93522310784</v>
      </c>
      <c r="J416" s="282">
        <f>'Resultater - Vestdanmark'!J416+'Resultater - Østdanmark'!J416</f>
        <v>188233.86614274088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726.16257554479</v>
      </c>
      <c r="J417" s="285">
        <f>'Resultater - Vestdanmark'!J417+'Resultater - Østdanmark'!J417</f>
        <v>694.29751168215546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5940049093.1121225</v>
      </c>
      <c r="J418" s="279">
        <f>'Resultater - Vestdanmark'!J418+'Resultater - Østdanmark'!J418</f>
        <v>5940049093.1121225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164945487.85478973</v>
      </c>
      <c r="J419" s="282">
        <f>'Resultater - Vestdanmark'!J419+'Resultater - Østdanmark'!J419</f>
        <v>164945487.85478973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78449683.248009741</v>
      </c>
      <c r="J421" s="282">
        <f>'Resultater - Vestdanmark'!J421+'Resultater - Østdanmark'!J421</f>
        <v>78449683.248009741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143824419.28801787</v>
      </c>
      <c r="J422" s="282">
        <f>'Resultater - Vestdanmark'!J422+'Resultater - Østdanmark'!J422</f>
        <v>143824419.28801787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1682645129.1528244</v>
      </c>
      <c r="J423" s="282">
        <f>'Resultater - Vestdanmark'!J423+'Resultater - Østdanmark'!J423</f>
        <v>1682645129.1528244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242389405.93295318</v>
      </c>
      <c r="J424" s="282">
        <f>'Resultater - Vestdanmark'!J424+'Resultater - Østdanmark'!J424</f>
        <v>242389405.93295318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2285098465.8907452</v>
      </c>
      <c r="J427" s="282">
        <f>'Resultater - Vestdanmark'!J427+'Resultater - Østdanmark'!J427</f>
        <v>2285098465.8907452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163939722.68494344</v>
      </c>
      <c r="J428" s="282">
        <f>'Resultater - Vestdanmark'!J428+'Resultater - Østdanmark'!J428</f>
        <v>163939722.68494344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121697585.55139977</v>
      </c>
      <c r="J431" s="282">
        <f>'Resultater - Vestdanmark'!J431+'Resultater - Østdanmark'!J431</f>
        <v>121697585.55139975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4029095270.4041934</v>
      </c>
      <c r="J432" s="282">
        <f>'Resultater - Vestdanmark'!J432+'Resultater - Østdanmark'!J432</f>
        <v>4029095270.4041934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12195000.399999999</v>
      </c>
      <c r="J433" s="282">
        <f>'Resultater - Vestdanmark'!J433+'Resultater - Østdanmark'!J433</f>
        <v>12195000.399999999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361184.40000000008</v>
      </c>
      <c r="J434" s="282">
        <f>'Resultater - Vestdanmark'!J434+'Resultater - Østdanmark'!J434</f>
        <v>361184.4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4390946.2500000009</v>
      </c>
      <c r="J435" s="282">
        <f>'Resultater - Vestdanmark'!J435+'Resultater - Østdanmark'!J435</f>
        <v>4390946.25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109768085.96855611</v>
      </c>
      <c r="J436" s="282">
        <f>'Resultater - Vestdanmark'!J436+'Resultater - Østdanmark'!J436</f>
        <v>105089391.37061904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-116423.69132734301</v>
      </c>
      <c r="J437" s="288">
        <f>'Resultater - Vestdanmark'!J437+'Resultater - Østdanmark'!J437</f>
        <v>-111461.31186268541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149019759.53296533</v>
      </c>
      <c r="J438" s="282">
        <f>'Resultater - Vestdanmark'!J438+'Resultater - Østdanmark'!J438</f>
        <v>146172272.13586926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-311000.58922072942</v>
      </c>
      <c r="J439" s="288">
        <f>'Resultater - Vestdanmark'!J439+'Resultater - Østdanmark'!J439</f>
        <v>-305057.95274707722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59231.178797574103</v>
      </c>
      <c r="J440" s="282">
        <f>'Resultater - Vestdanmark'!J440+'Resultater - Østdanmark'!J440</f>
        <v>61168.027285023883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90329427.84153083</v>
      </c>
      <c r="J441" s="282">
        <f>'Resultater - Vestdanmark'!J441+'Resultater - Østdanmark'!J441</f>
        <v>94651075.041137278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33002599.999999996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2165561.9999999995</v>
      </c>
      <c r="J443" s="282">
        <f>'Resultater - Vestdanmark'!J443+'Resultater - Østdanmark'!J443</f>
        <v>2165561.9999999995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>
        <f ca="1">'Resultater - Vestdanmark'!H444+'Resultater - Østdanmark'!H444</f>
        <v>69194816.600000009</v>
      </c>
      <c r="I444" s="281">
        <f ca="1">'Resultater - Vestdanmark'!I444+'Resultater - Østdanmark'!I444</f>
        <v>34543125.5</v>
      </c>
      <c r="J444" s="282">
        <f ca="1">'Resultater - Vestdanmark'!J444+'Resultater - Østdanmark'!J444</f>
        <v>35091837.300000004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102149122.13</v>
      </c>
      <c r="I445" s="281">
        <f>'Resultater - Vestdanmark'!I445+'Resultater - Østdanmark'!I445</f>
        <v>74480686.959999979</v>
      </c>
      <c r="J445" s="282">
        <f>'Resultater - Vestdanmark'!J445+'Resultater - Østdanmark'!J445</f>
        <v>74179468.040000021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38577084.232939482</v>
      </c>
      <c r="J451" s="282">
        <f>'Resultater - Vestdanmark'!J451+'Resultater - Østdanmark'!J451</f>
        <v>40180423.618004136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>
        <f ca="1">'Resultater - Vestdanmark'!H452+'Resultater - Østdanmark'!H452</f>
        <v>12034020.807749998</v>
      </c>
      <c r="I452" s="287">
        <f ca="1">'Resultater - Vestdanmark'!I452+'Resultater - Østdanmark'!I452</f>
        <v>23679614.841002572</v>
      </c>
      <c r="J452" s="288">
        <f ca="1">'Resultater - Vestdanmark'!J452+'Resultater - Østdanmark'!J452</f>
        <v>23310542.352385234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42992500.337684467</v>
      </c>
      <c r="J453" s="288">
        <f>'Resultater - Vestdanmark'!J453+'Resultater - Østdanmark'!J453</f>
        <v>41160011.620159127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17688795.64445053</v>
      </c>
      <c r="J454" s="288">
        <f>'Resultater - Vestdanmark'!J454+'Resultater - Østdanmark'!J454</f>
        <v>17350796.020607103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23963.759360850592</v>
      </c>
      <c r="J455" s="288">
        <f>'Resultater - Vestdanmark'!J455+'Resultater - Østdanmark'!J455</f>
        <v>24747.369817605082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7979099.4593352228</v>
      </c>
      <c r="J456" s="288">
        <f>'Resultater - Vestdanmark'!J456+'Resultater - Østdanmark'!J456</f>
        <v>8360844.9619671246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>
        <f ca="1">'Resultater - Vestdanmark'!H457+'Resultater - Østdanmark'!H457</f>
        <v>61624442.148559391</v>
      </c>
      <c r="I457" s="287">
        <f ca="1">'Resultater - Vestdanmark'!I457+'Resultater - Østdanmark'!I457</f>
        <v>145307809.82430008</v>
      </c>
      <c r="J457" s="288">
        <f ca="1">'Resultater - Vestdanmark'!J457+'Resultater - Østdanmark'!J457</f>
        <v>141752772.7031121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>
        <f ca="1">'Resultater - Vestdanmark'!H458+'Resultater - Østdanmark'!H458</f>
        <v>177358488.6388132</v>
      </c>
      <c r="I458" s="287">
        <f ca="1">'Resultater - Vestdanmark'!I458+'Resultater - Østdanmark'!I458</f>
        <v>158788246.95087889</v>
      </c>
      <c r="J458" s="288">
        <f ca="1">'Resultater - Vestdanmark'!J458+'Resultater - Østdanmark'!J458</f>
        <v>153499637.04575163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18.63064359808439</v>
      </c>
      <c r="J459" s="292">
        <f>'Resultater - Vestdanmark'!J459+'Resultater - Østdanmark'!J459</f>
        <v>17.579309207559337</v>
      </c>
      <c r="L459" s="170" t="s">
        <v>217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3.951047127829578</v>
      </c>
      <c r="I460" s="291">
        <f>'Resultater - Vestdanmark'!I460+'Resultater - Østdanmark'!I460</f>
        <v>7.9766231601288453</v>
      </c>
      <c r="J460" s="292">
        <f>'Resultater - Vestdanmark'!J460+'Resultater - Østdanmark'!J460</f>
        <v>7.7078751185296177</v>
      </c>
      <c r="L460" s="170" t="s">
        <v>221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3.9916250431283249</v>
      </c>
      <c r="J461" s="292">
        <f>'Resultater - Vestdanmark'!J461+'Resultater - Østdanmark'!J461</f>
        <v>3.8685108167589539</v>
      </c>
      <c r="L461" s="170" t="s">
        <v>218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41.288597648257841</v>
      </c>
      <c r="J462" s="292">
        <f>'Resultater - Vestdanmark'!J462+'Resultater - Østdanmark'!J462</f>
        <v>37.483941353749458</v>
      </c>
      <c r="L462" s="170" t="s">
        <v>219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220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>
        <f ca="1">'Resultater - Vestdanmark'!H464+'Resultater - Østdanmark'!H464</f>
        <v>0</v>
      </c>
      <c r="I464" s="291">
        <f ca="1">'Resultater - Vestdanmark'!I464+'Resultater - Østdanmark'!I464</f>
        <v>0</v>
      </c>
      <c r="J464" s="292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>
        <f ca="1">'Resultater - Vestdanmark'!H467+'Resultater - Østdanmark'!H467</f>
        <v>16.609927730843868</v>
      </c>
      <c r="I467" s="294">
        <f ca="1">'Resultater - Vestdanmark'!I467+'Resultater - Østdanmark'!I467</f>
        <v>21.85951762890226</v>
      </c>
      <c r="J467" s="295">
        <f ca="1">'Resultater - Vestdanmark'!J467+'Resultater - Østdanmark'!J467</f>
        <v>21.811380730995147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356099.24822003779</v>
      </c>
      <c r="J471" s="298">
        <f>'Resultater - Vestdanmark'!J471+'Resultater - Østdanmark'!J471</f>
        <v>344101.56779150077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227903.51886082417</v>
      </c>
      <c r="J472" s="298">
        <f>'Resultater - Vestdanmark'!J472+'Resultater - Østdanmark'!J472</f>
        <v>220225.00338656051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G183" activeCellId="1" sqref="G39 G183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1" width="9.570312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6" t="s">
        <v>254</v>
      </c>
      <c r="B1" s="356"/>
      <c r="C1" s="356"/>
      <c r="F1" s="357" t="s">
        <v>256</v>
      </c>
      <c r="G1" s="357"/>
      <c r="H1" s="357"/>
      <c r="I1" s="357"/>
      <c r="J1" s="357"/>
      <c r="K1" s="357"/>
      <c r="L1" s="357"/>
      <c r="M1" s="358"/>
      <c r="N1" s="359" t="s">
        <v>257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25">
      <c r="A2" s="199" t="s">
        <v>129</v>
      </c>
      <c r="B2" s="199" t="s">
        <v>322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hidden="1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4">
        <f t="shared" ca="1" si="4"/>
        <v>-199952.34120163022</v>
      </c>
      <c r="O5" s="195">
        <f t="shared" ca="1" si="1"/>
        <v>0</v>
      </c>
      <c r="P5" s="205">
        <f t="shared" ca="1" si="5"/>
        <v>393543.64426779439</v>
      </c>
      <c r="Q5" s="192">
        <f ca="1">IFERROR(VLOOKUP(A5,[1]Energiindhold!$A$2:$C$11,3,FALSE),IFERROR(VLOOKUP(A5,[1]Biogasudbytte!$A$2:$B$18,2,FALSE)*[1]Energiindhold!$C$10,0))*O5</f>
        <v>0</v>
      </c>
      <c r="R5" s="192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2">
        <f ca="1">IFERROR(VLOOKUP(A5,[1]Biogasudbytte!$A$2:$B$18,2,FALSE)*[1]Energiindhold!$C$10,0)*J5*IFERROR(VLOOKUP(A5,Biogasanlæg!$F$3:$G$8,2,FALSE),1)</f>
        <v>1.3407677770923916</v>
      </c>
      <c r="T5" s="193">
        <f t="shared" ca="1" si="6"/>
        <v>0</v>
      </c>
      <c r="U5" s="191">
        <f ca="1">O5*IFERROR(VLOOKUP(A5,[1]Tørstofindhold!A$2:B$24,2,FALSE),0)</f>
        <v>0</v>
      </c>
      <c r="V5" s="192">
        <f ca="1">IF(D5=År1,P5,SUM(O5,P5))*IFERROR(VLOOKUP(A5,[1]Tørstofindhold!A$2:B$24,2,FALSE),0)</f>
        <v>110192.22039498243</v>
      </c>
      <c r="W5" s="192">
        <f ca="1">J5*IFERROR(VLOOKUP(A5,[1]Tørstofindhold!A$2:B$24,2,FALSE),0)</f>
        <v>110192.22039498243</v>
      </c>
      <c r="X5" s="193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ca="1" si="4"/>
        <v>0</v>
      </c>
      <c r="O6" s="195">
        <f t="shared" ca="1" si="1"/>
        <v>0</v>
      </c>
      <c r="P6" s="205">
        <f t="shared" ca="1" si="5"/>
        <v>352020257.59705466</v>
      </c>
      <c r="Q6" s="192">
        <f ca="1"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 ca="1">O6*IFERROR(VLOOKUP(A6,[1]Tørstofindhold!A$2:B$24,2,FALSE),0)</f>
        <v>0</v>
      </c>
      <c r="V6" s="192">
        <f ca="1"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>
        <f t="shared" ca="1" si="4"/>
        <v>2569365.51571796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hidden="1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O8*IFERROR(VLOOKUP(A8,[1]Tørstofindhold!A$2:B$24,2,FALSE),0)</f>
        <v>0</v>
      </c>
      <c r="V8" s="192">
        <f>IF(D8=År1,P8,SUM(O8,P8))*IFERROR(VLOOKUP(A8,[1]Tørstofindhold!A$2:B$24,2,FALSE),0)</f>
        <v>0</v>
      </c>
      <c r="W8" s="192">
        <f>J8*IFERROR(VLOOKUP(A8,[1]Tørstofindhold!A$2:B$24,2,FALSE),0)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O9*IFERROR(VLOOKUP(A9,[1]Tørstofindhold!A$2:B$24,2,FALSE),0)</f>
        <v>359642.22916334897</v>
      </c>
      <c r="V9" s="192">
        <f>IF(D9=År1,P9,SUM(O9,P9))*IFERROR(VLOOKUP(A9,[1]Tørstofindhold!A$2:B$24,2,FALSE),0)</f>
        <v>201358.40146508775</v>
      </c>
      <c r="W9" s="192">
        <f>J9*IFERROR(VLOOKUP(A9,[1]Tørstofindhold!A$2:B$24,2,FALSE),0)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O11*IFERROR(VLOOKUP(A11,[1]Tørstofindhold!A$2:B$24,2,FALSE),0)</f>
        <v>62.788234524127645</v>
      </c>
      <c r="V11" s="192">
        <f>IF(D11=År1,P11,SUM(O11,P11))*IFERROR(VLOOKUP(A11,[1]Tørstofindhold!A$2:B$24,2,FALSE),0)</f>
        <v>258.53978921699621</v>
      </c>
      <c r="W11" s="192">
        <f>J11*IFERROR(VLOOKUP(A11,[1]Tørstofindhold!A$2:B$24,2,FALSE),0)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hidden="1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O16*IFERROR(VLOOKUP(A16,[1]Tørstofindhold!A$2:B$24,2,FALSE),0)</f>
        <v>994049.13870830298</v>
      </c>
      <c r="V16" s="192">
        <f>IF(D16=År1,P16,SUM(O16,P16))*IFERROR(VLOOKUP(A16,[1]Tørstofindhold!A$2:B$24,2,FALSE),0)</f>
        <v>21208.925891905561</v>
      </c>
      <c r="W16" s="192">
        <f>J16*IFERROR(VLOOKUP(A16,[1]Tørstofindhold!A$2:B$24,2,FALSE),0)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O19*IFERROR(VLOOKUP(A19,[1]Tørstofindhold!A$2:B$24,2,FALSE),0)</f>
        <v>0</v>
      </c>
      <c r="V19" s="192">
        <f>IF(D19=År1,P19,SUM(O19,P19))*IFERROR(VLOOKUP(A19,[1]Tørstofindhold!A$2:B$24,2,FALSE),0)</f>
        <v>1030819.8252529224</v>
      </c>
      <c r="W19" s="192">
        <f>J19*IFERROR(VLOOKUP(A19,[1]Tørstofindhold!A$2:B$24,2,FALSE),0)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O20*IFERROR(VLOOKUP(A20,[1]Tørstofindhold!A$2:B$24,2,FALSE),0)</f>
        <v>0</v>
      </c>
      <c r="V20" s="192">
        <f>IF(D20=År1,P20,SUM(O20,P20))*IFERROR(VLOOKUP(A20,[1]Tørstofindhold!A$2:B$24,2,FALSE),0)</f>
        <v>159138.74629869961</v>
      </c>
      <c r="W20" s="192">
        <f>J20*IFERROR(VLOOKUP(A20,[1]Tørstofindhold!A$2:B$24,2,FALSE),0)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2">
        <f>IFERROR(VLOOKUP(A22,[1]Biogasudbytte!$A$2:$B$18,2,FALSE)*[1]Energiindhold!$C$10,0)*J22*IFERROR(VLOOKUP(A22,Biogasanlæg!$F$3:$G$8,2,FALSE),1)</f>
        <v>2.637525053399659</v>
      </c>
      <c r="T22" s="193">
        <f t="shared" si="11"/>
        <v>0</v>
      </c>
      <c r="U22" s="191">
        <f>O22*IFERROR(VLOOKUP(A22,[1]Tørstofindhold!A$2:B$24,2,FALSE),0)</f>
        <v>0</v>
      </c>
      <c r="V22" s="192">
        <f>IF(D22=År1,P22,SUM(O22,P22))*IFERROR(VLOOKUP(A22,[1]Tørstofindhold!A$2:B$24,2,FALSE),0)</f>
        <v>300763.57585499104</v>
      </c>
      <c r="W22" s="192">
        <f>J22*IFERROR(VLOOKUP(A22,[1]Tørstofindhold!A$2:B$24,2,FALSE),0)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O25*IFERROR(VLOOKUP(A25,[1]Tørstofindhold!A$2:B$24,2,FALSE),0)</f>
        <v>206337.459594888</v>
      </c>
      <c r="V25" s="192">
        <f>IF(D25=År1,P25,SUM(O25,P25))*IFERROR(VLOOKUP(A25,[1]Tørstofindhold!A$2:B$24,2,FALSE),0)</f>
        <v>880.45745202057424</v>
      </c>
      <c r="W25" s="192">
        <f>J25*IFERROR(VLOOKUP(A25,[1]Tørstofindhold!A$2:B$24,2,FALSE),0)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720643.40546424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>
        <f t="shared" ca="1" si="9"/>
        <v>-720643.40546424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hidden="1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O27*IFERROR(VLOOKUP(A27,[1]Tørstofindhold!A$2:B$24,2,FALSE),0)</f>
        <v>232339.01261192418</v>
      </c>
      <c r="V27" s="192">
        <f>IF(D27=År1,P27,SUM(O27,P27))*IFERROR(VLOOKUP(A27,[1]Tørstofindhold!A$2:B$24,2,FALSE),0)</f>
        <v>309081.71011804708</v>
      </c>
      <c r="W27" s="192">
        <f>J27*IFERROR(VLOOKUP(A27,[1]Tørstofindhold!A$2:B$24,2,FALSE),0)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hidden="1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O29*IFERROR(VLOOKUP(A29,[1]Tørstofindhold!A$2:B$24,2,FALSE),0)</f>
        <v>379878.67388024763</v>
      </c>
      <c r="V29" s="192">
        <f>IF(D29=År1,P29,SUM(O29,P29))*IFERROR(VLOOKUP(A29,[1]Tørstofindhold!A$2:B$24,2,FALSE),0)</f>
        <v>94446.430479468312</v>
      </c>
      <c r="W29" s="192">
        <f>J29*IFERROR(VLOOKUP(A29,[1]Tørstofindhold!A$2:B$24,2,FALSE),0)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O31*IFERROR(VLOOKUP(A31,[1]Tørstofindhold!A$2:B$24,2,FALSE),0)</f>
        <v>131.83534701746427</v>
      </c>
      <c r="V31" s="192">
        <f>IF(D31=År1,P31,SUM(O31,P31))*IFERROR(VLOOKUP(A31,[1]Tørstofindhold!A$2:B$24,2,FALSE),0)</f>
        <v>0</v>
      </c>
      <c r="W31" s="192">
        <f>J31*IFERROR(VLOOKUP(A31,[1]Tørstofindhold!A$2:B$24,2,FALSE),0)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O34*IFERROR(VLOOKUP(A34,[1]Tørstofindhold!A$2:B$24,2,FALSE),0)</f>
        <v>0</v>
      </c>
      <c r="V34" s="192">
        <f>IF(D34=År1,P34,SUM(O34,P34))*IFERROR(VLOOKUP(A34,[1]Tørstofindhold!A$2:B$24,2,FALSE),0)</f>
        <v>71465.1029917407</v>
      </c>
      <c r="W34" s="192">
        <f>J34*IFERROR(VLOOKUP(A34,[1]Tørstofindhold!A$2:B$24,2,FALSE),0)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25">
      <c r="A35" s="194" t="s">
        <v>317</v>
      </c>
      <c r="B35" s="194" t="s">
        <v>323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O35*IFERROR(VLOOKUP(A35,[1]Tørstofindhold!A$2:B$24,2,FALSE),0)</f>
        <v>0</v>
      </c>
      <c r="V35" s="192">
        <f>IF(D35=År1,P35,SUM(O35,P35))*IFERROR(VLOOKUP(A35,[1]Tørstofindhold!A$2:B$24,2,FALSE),0)</f>
        <v>0</v>
      </c>
      <c r="W35" s="192">
        <f>J35*IFERROR(VLOOKUP(A35,[1]Tørstofindhold!A$2:B$24,2,FALSE),0)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4" t="s">
        <v>318</v>
      </c>
      <c r="B36" s="194" t="s">
        <v>323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O36*IFERROR(VLOOKUP(A36,[1]Tørstofindhold!A$2:B$24,2,FALSE),0)</f>
        <v>0</v>
      </c>
      <c r="V36" s="192">
        <f>IF(D36=År1,P36,SUM(O36,P36))*IFERROR(VLOOKUP(A36,[1]Tørstofindhold!A$2:B$24,2,FALSE),0)</f>
        <v>0</v>
      </c>
      <c r="W36" s="192">
        <f>J36*IFERROR(VLOOKUP(A36,[1]Tørstofindhold!A$2:B$24,2,FALSE),0)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4">
        <f t="shared" si="9"/>
        <v>0</v>
      </c>
      <c r="O40" s="195">
        <f t="shared" si="1"/>
        <v>0</v>
      </c>
      <c r="P40" s="205">
        <f t="shared" si="10"/>
        <v>80676.325166481722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2.8236713808268599</v>
      </c>
      <c r="U40" s="191">
        <f>O40*IFERROR(VLOOKUP(A40,[1]Tørstofindhold!A$2:B$24,2,FALSE),0)</f>
        <v>0</v>
      </c>
      <c r="V40" s="192">
        <f>IF(D40=År1,P40,SUM(O40,P40))*IFERROR(VLOOKUP(A40,[1]Tørstofindhold!A$2:B$24,2,FALSE),0)</f>
        <v>0</v>
      </c>
      <c r="W40" s="192">
        <f>J40*IFERROR(VLOOKUP(A40,[1]Tørstofindhold!A$2:B$24,2,FALSE),0)</f>
        <v>0</v>
      </c>
      <c r="X40" s="193">
        <f t="shared" si="12"/>
        <v>0</v>
      </c>
      <c r="Y40" s="171">
        <f t="shared" si="2"/>
        <v>0</v>
      </c>
      <c r="Z40" s="103">
        <f t="shared" si="3"/>
        <v>0</v>
      </c>
    </row>
    <row r="41" spans="1:26" hidden="1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O41*IFERROR(VLOOKUP(A41,[1]Tørstofindhold!A$2:B$24,2,FALSE),0)</f>
        <v>0</v>
      </c>
      <c r="V41" s="192">
        <f>IF(D41=År1,P41,SUM(O41,P41))*IFERROR(VLOOKUP(A41,[1]Tørstofindhold!A$2:B$24,2,FALSE),0)</f>
        <v>820.20978483944555</v>
      </c>
      <c r="W41" s="192">
        <f>J41*IFERROR(VLOOKUP(A41,[1]Tørstofindhold!A$2:B$24,2,FALSE),0)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O44*IFERROR(VLOOKUP(A44,[1]Tørstofindhold!A$2:B$24,2,FALSE),0)</f>
        <v>143400.83716653602</v>
      </c>
      <c r="V44" s="192">
        <f>IF(D44=År1,P44,SUM(O44,P44))*IFERROR(VLOOKUP(A44,[1]Tørstofindhold!A$2:B$24,2,FALSE),0)</f>
        <v>87610.955247949008</v>
      </c>
      <c r="W44" s="192">
        <f>J44*IFERROR(VLOOKUP(A44,[1]Tørstofindhold!A$2:B$24,2,FALSE),0)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O45*IFERROR(VLOOKUP(A45,[1]Tørstofindhold!A$2:B$24,2,FALSE),0)</f>
        <v>0</v>
      </c>
      <c r="V45" s="192">
        <f>IF(D45=År1,P45,SUM(O45,P45))*IFERROR(VLOOKUP(A45,[1]Tørstofindhold!A$2:B$24,2,FALSE),0)</f>
        <v>126722.10364886111</v>
      </c>
      <c r="W45" s="192">
        <f>J45*IFERROR(VLOOKUP(A45,[1]Tørstofindhold!A$2:B$24,2,FALSE),0)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O47*IFERROR(VLOOKUP(A47,[1]Tørstofindhold!A$2:B$24,2,FALSE),0)</f>
        <v>11.475</v>
      </c>
      <c r="V47" s="192">
        <f>IF(D47=År1,P47,SUM(O47,P47))*IFERROR(VLOOKUP(A47,[1]Tørstofindhold!A$2:B$24,2,FALSE),0)</f>
        <v>0</v>
      </c>
      <c r="W47" s="192">
        <f>J47*IFERROR(VLOOKUP(A47,[1]Tørstofindhold!A$2:B$24,2,FALSE),0)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hidden="1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O49*IFERROR(VLOOKUP(A49,[1]Tørstofindhold!A$2:B$24,2,FALSE),0)</f>
        <v>0</v>
      </c>
      <c r="V49" s="192">
        <f>IF(D49=År1,P49,SUM(O49,P49))*IFERROR(VLOOKUP(A49,[1]Tørstofindhold!A$2:B$24,2,FALSE),0)</f>
        <v>1151704.3763715085</v>
      </c>
      <c r="W49" s="192">
        <f>J49*IFERROR(VLOOKUP(A49,[1]Tørstofindhold!A$2:B$24,2,FALSE),0)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hidden="1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hidden="1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181212.16529988745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270118.44306124689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205619.9675860549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4">
        <f t="shared" ca="1" si="9"/>
        <v>-1.5144408156629652E-2</v>
      </c>
      <c r="O53" s="195">
        <f t="shared" ca="1" si="1"/>
        <v>0</v>
      </c>
      <c r="P53" s="205">
        <f t="shared" ca="1" si="10"/>
        <v>195082.24112879002</v>
      </c>
      <c r="Q53" s="192">
        <f ca="1">IFERROR(VLOOKUP(A53,[1]Energiindhold!$A$2:$C$11,3,FALSE),IFERROR(VLOOKUP(A53,[1]Biogasudbytte!$A$2:$B$18,2,FALSE)*[1]Energiindhold!$C$10,0))*O53</f>
        <v>0</v>
      </c>
      <c r="R53" s="192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2">
        <f ca="1">IFERROR(VLOOKUP(A53,[1]Biogasudbytte!$A$2:$B$18,2,FALSE)*[1]Energiindhold!$C$10,0)*J53*IFERROR(VLOOKUP(A53,Biogasanlæg!$F$3:$G$8,2,FALSE),1)</f>
        <v>0.6646276381240861</v>
      </c>
      <c r="T53" s="193">
        <f t="shared" ca="1" si="11"/>
        <v>0</v>
      </c>
      <c r="U53" s="191">
        <f ca="1">O53*IFERROR(VLOOKUP(A53,[1]Tørstofindhold!A$2:B$24,2,FALSE),0)</f>
        <v>0</v>
      </c>
      <c r="V53" s="192">
        <f ca="1">IF(D53=År1,P53,SUM(O53,P53))*IFERROR(VLOOKUP(A53,[1]Tørstofindhold!A$2:B$24,2,FALSE),0)</f>
        <v>54623.027516061207</v>
      </c>
      <c r="W53" s="192">
        <f ca="1">J53*IFERROR(VLOOKUP(A53,[1]Tørstofindhold!A$2:B$24,2,FALSE),0)</f>
        <v>54623.027516061207</v>
      </c>
      <c r="X53" s="193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500535240.15105212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ca="1" si="9"/>
        <v>0</v>
      </c>
      <c r="O54" s="195">
        <f t="shared" ca="1" si="1"/>
        <v>0</v>
      </c>
      <c r="P54" s="205">
        <f t="shared" ca="1" si="10"/>
        <v>500535240.15105212</v>
      </c>
      <c r="Q54" s="192">
        <f ca="1"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 ca="1">O54*IFERROR(VLOOKUP(A54,[1]Tørstofindhold!A$2:B$24,2,FALSE),0)</f>
        <v>0</v>
      </c>
      <c r="V54" s="192">
        <f ca="1"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hidden="1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20203745.041476861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>
        <f t="shared" ca="1" si="9"/>
        <v>2492537.9128509425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hidden="1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O56*IFERROR(VLOOKUP(A56,[1]Tørstofindhold!A$2:B$24,2,FALSE),0)</f>
        <v>0</v>
      </c>
      <c r="V56" s="192">
        <f>IF(D56=År1,P56,SUM(O56,P56))*IFERROR(VLOOKUP(A56,[1]Tørstofindhold!A$2:B$24,2,FALSE),0)</f>
        <v>0</v>
      </c>
      <c r="W56" s="192">
        <f>J56*IFERROR(VLOOKUP(A56,[1]Tørstofindhold!A$2:B$24,2,FALSE),0)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hidden="1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2652925.8184588463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824301.95073542721</v>
      </c>
      <c r="O57" s="195">
        <f t="shared" si="1"/>
        <v>824301.95073542721</v>
      </c>
      <c r="P57" s="205">
        <f t="shared" si="10"/>
        <v>1326462.9092294232</v>
      </c>
      <c r="Q57" s="192">
        <f>IFERROR(VLOOKUP(A57,[1]Energiindhold!$A$2:$C$11,3,FALSE),IFERROR(VLOOKUP(A57,[1]Biogasudbytte!$A$2:$B$18,2,FALSE)*[1]Energiindhold!$C$10,0))*O57</f>
        <v>1.7755464018841103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2">
        <f>IFERROR(VLOOKUP(A57,[1]Biogasudbytte!$A$2:$B$18,2,FALSE)*[1]Energiindhold!$C$10,0)*J57*IFERROR(VLOOKUP(A57,Biogasanlæg!$F$3:$G$8,2,FALSE),1)</f>
        <v>2.8572011064801774</v>
      </c>
      <c r="T57" s="193">
        <f t="shared" si="11"/>
        <v>1.7755464018841103</v>
      </c>
      <c r="U57" s="191">
        <f>O57*IFERROR(VLOOKUP(A57,[1]Tørstofindhold!A$2:B$24,2,FALSE),0)</f>
        <v>247290.58522062816</v>
      </c>
      <c r="V57" s="192">
        <f>IF(D57=År1,P57,SUM(O57,P57))*IFERROR(VLOOKUP(A57,[1]Tørstofindhold!A$2:B$24,2,FALSE),0)</f>
        <v>645229.45798945508</v>
      </c>
      <c r="W57" s="192">
        <f>J57*IFERROR(VLOOKUP(A57,[1]Tørstofindhold!A$2:B$24,2,FALSE),0)</f>
        <v>397938.87276882696</v>
      </c>
      <c r="X57" s="193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hidden="1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hidden="1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3158.317751313647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1013.0453164590945</v>
      </c>
      <c r="O59" s="195">
        <f t="shared" si="1"/>
        <v>1013.0453164590945</v>
      </c>
      <c r="P59" s="205">
        <f t="shared" si="10"/>
        <v>4171.3630677727415</v>
      </c>
      <c r="Q59" s="192">
        <f>IFERROR(VLOOKUP(A59,[1]Energiindhold!$A$2:$C$11,3,FALSE),IFERROR(VLOOKUP(A59,[1]Biogasudbytte!$A$2:$B$18,2,FALSE)*[1]Energiindhold!$C$10,0))*O59</f>
        <v>4.7642508187754754E-4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2.4381754190203903E-3</v>
      </c>
      <c r="S59" s="192">
        <f>IFERROR(VLOOKUP(A59,[1]Biogasudbytte!$A$2:$B$18,2,FALSE)*[1]Energiindhold!$C$10,0)*J59*IFERROR(VLOOKUP(A59,Biogasanlæg!$F$3:$G$8,2,FALSE),1)</f>
        <v>1.9617503371428427E-3</v>
      </c>
      <c r="T59" s="193">
        <f t="shared" si="11"/>
        <v>4.7642508187754765E-4</v>
      </c>
      <c r="U59" s="191">
        <f>O59*IFERROR(VLOOKUP(A59,[1]Tørstofindhold!A$2:B$24,2,FALSE),0)</f>
        <v>63.821854936922954</v>
      </c>
      <c r="V59" s="192">
        <f>IF(D59=År1,P59,SUM(O59,P59))*IFERROR(VLOOKUP(A59,[1]Tørstofindhold!A$2:B$24,2,FALSE),0)</f>
        <v>326.61772820660565</v>
      </c>
      <c r="W59" s="192">
        <f>J59*IFERROR(VLOOKUP(A59,[1]Tørstofindhold!A$2:B$24,2,FALSE),0)</f>
        <v>262.79587326968272</v>
      </c>
      <c r="X59" s="193">
        <f t="shared" si="12"/>
        <v>63.821854936922932</v>
      </c>
      <c r="Y59" s="171">
        <f t="shared" si="2"/>
        <v>0</v>
      </c>
      <c r="Z59" s="103">
        <f t="shared" si="3"/>
        <v>1</v>
      </c>
    </row>
    <row r="60" spans="1:26" hidden="1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146334.12296443019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925155.87360935542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925155.87360935542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27117.337735936886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-230805.95664197873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16463363.602305863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4150059.6334856153</v>
      </c>
      <c r="O64" s="195">
        <f t="shared" si="1"/>
        <v>4150059.6334856153</v>
      </c>
      <c r="P64" s="205">
        <f t="shared" si="10"/>
        <v>75614.059561949907</v>
      </c>
      <c r="Q64" s="192">
        <f>IFERROR(VLOOKUP(A64,[1]Energiindhold!$A$2:$C$11,3,FALSE),IFERROR(VLOOKUP(A64,[1]Biogasudbytte!$A$2:$B$18,2,FALSE)*[1]Energiindhold!$C$10,0))*O64</f>
        <v>7.635590968159347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2">
        <f>IFERROR(VLOOKUP(A64,[1]Biogasudbytte!$A$2:$B$18,2,FALSE)*[1]Energiindhold!$C$10,0)*J64*IFERROR(VLOOKUP(A64,Biogasanlæg!$F$3:$G$8,2,FALSE),1)</f>
        <v>0.13912041783654258</v>
      </c>
      <c r="T64" s="193">
        <f t="shared" si="11"/>
        <v>7.635590968159347</v>
      </c>
      <c r="U64" s="191">
        <f>O64*IFERROR(VLOOKUP(A64,[1]Tørstofindhold!A$2:B$24,2,FALSE),0)</f>
        <v>1162016.6973759723</v>
      </c>
      <c r="V64" s="192">
        <f>IF(D64=År1,P64,SUM(O64,P64))*IFERROR(VLOOKUP(A64,[1]Tørstofindhold!A$2:B$24,2,FALSE),0)</f>
        <v>1183188.6340533185</v>
      </c>
      <c r="W64" s="192">
        <f>J64*IFERROR(VLOOKUP(A64,[1]Tørstofindhold!A$2:B$24,2,FALSE),0)</f>
        <v>21171.936677345977</v>
      </c>
      <c r="X64" s="193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hidden="1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192243.07548074043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-77897.638104550162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hidden="1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2639184.2877324577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726974.95402379602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1139123.4401657358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2">
        <f>IFERROR(VLOOKUP(A67,[1]Biogasudbytte!$A$2:$B$18,2,FALSE)*[1]Energiindhold!$C$10,0)*J67*IFERROR(VLOOKUP(A67,Biogasanlæg!$F$3:$G$8,2,FALSE),1)</f>
        <v>0.30481830088922796</v>
      </c>
      <c r="T67" s="193">
        <f t="shared" si="11"/>
        <v>11.227315588401201</v>
      </c>
      <c r="U67" s="191">
        <f>O67*IFERROR(VLOOKUP(A67,[1]Tørstofindhold!A$2:B$24,2,FALSE),0)</f>
        <v>0</v>
      </c>
      <c r="V67" s="192">
        <f>IF(D67=År1,P67,SUM(O67,P67))*IFERROR(VLOOKUP(A67,[1]Tørstofindhold!A$2:B$24,2,FALSE),0)</f>
        <v>968254.92414087534</v>
      </c>
      <c r="W67" s="192">
        <f>J67*IFERROR(VLOOKUP(A67,[1]Tørstofindhold!A$2:B$24,2,FALSE),0)</f>
        <v>44938.645080225571</v>
      </c>
      <c r="X67" s="193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O68*IFERROR(VLOOKUP(A68,[1]Tørstofindhold!A$2:B$24,2,FALSE),0)</f>
        <v>0</v>
      </c>
      <c r="V68" s="192">
        <f>IF(D68=År1,P68,SUM(O68,P68))*IFERROR(VLOOKUP(A68,[1]Tørstofindhold!A$2:B$24,2,FALSE),0)</f>
        <v>158020.23296051734</v>
      </c>
      <c r="W68" s="192">
        <f>J68*IFERROR(VLOOKUP(A68,[1]Tørstofindhold!A$2:B$24,2,FALSE),0)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hidden="1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-4828427.5390456226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hidden="1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523057.42126360437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0.29027753113768995</v>
      </c>
      <c r="O70" s="195">
        <f t="shared" si="20"/>
        <v>0.29027753113768995</v>
      </c>
      <c r="P70" s="205">
        <f t="shared" si="10"/>
        <v>523057.13098607323</v>
      </c>
      <c r="Q70" s="192">
        <f>IFERROR(VLOOKUP(A70,[1]Energiindhold!$A$2:$C$11,3,FALSE),IFERROR(VLOOKUP(A70,[1]Biogasudbytte!$A$2:$B$18,2,FALSE)*[1]Energiindhold!$C$10,0))*O70</f>
        <v>1.2578102784986585E-6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2">
        <f>IFERROR(VLOOKUP(A70,[1]Biogasudbytte!$A$2:$B$18,2,FALSE)*[1]Energiindhold!$C$10,0)*J70*IFERROR(VLOOKUP(A70,Biogasanlæg!$F$3:$G$8,2,FALSE),1)</f>
        <v>1.9265033640912312</v>
      </c>
      <c r="T70" s="193">
        <f t="shared" si="11"/>
        <v>1.2578102785987255E-6</v>
      </c>
      <c r="U70" s="191">
        <f>O70*IFERROR(VLOOKUP(A70,[1]Tørstofindhold!A$2:B$24,2,FALSE),0)</f>
        <v>0.12191656307782978</v>
      </c>
      <c r="V70" s="192">
        <f>IF(D70=År1,P70,SUM(O70,P70))*IFERROR(VLOOKUP(A70,[1]Tørstofindhold!A$2:B$24,2,FALSE),0)</f>
        <v>219684.11693071382</v>
      </c>
      <c r="W70" s="192">
        <f>J70*IFERROR(VLOOKUP(A70,[1]Tørstofindhold!A$2:B$24,2,FALSE),0)</f>
        <v>219683.99501415074</v>
      </c>
      <c r="X70" s="193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hidden="1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800990.58717012103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800990.58717012103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2241845.3275075206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2118313.6444107294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7171156.7599390233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993174.58155054692</v>
      </c>
      <c r="O73" s="195">
        <f t="shared" si="20"/>
        <v>993174.58155054692</v>
      </c>
      <c r="P73" s="205">
        <f t="shared" si="10"/>
        <v>2833.9333697705197</v>
      </c>
      <c r="Q73" s="192">
        <f>IFERROR(VLOOKUP(A73,[1]Energiindhold!$A$2:$C$11,3,FALSE),IFERROR(VLOOKUP(A73,[1]Biogasudbytte!$A$2:$B$18,2,FALSE)*[1]Energiindhold!$C$10,0))*O73</f>
        <v>3.4014838973692068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2">
        <f>IFERROR(VLOOKUP(A73,[1]Biogasudbytte!$A$2:$B$18,2,FALSE)*[1]Energiindhold!$C$10,0)*J73*IFERROR(VLOOKUP(A73,Biogasanlæg!$F$3:$G$8,2,FALSE),1)</f>
        <v>9.7058250407922632E-3</v>
      </c>
      <c r="T73" s="193">
        <f t="shared" si="11"/>
        <v>3.4014838973692068</v>
      </c>
      <c r="U73" s="191">
        <f>O73*IFERROR(VLOOKUP(A73,[1]Tørstofindhold!A$2:B$24,2,FALSE),0)</f>
        <v>307884.12028066954</v>
      </c>
      <c r="V73" s="192">
        <f>IF(D73=År1,P73,SUM(O73,P73))*IFERROR(VLOOKUP(A73,[1]Tørstofindhold!A$2:B$24,2,FALSE),0)</f>
        <v>308762.63962529838</v>
      </c>
      <c r="W73" s="192">
        <f>J73*IFERROR(VLOOKUP(A73,[1]Tørstofindhold!A$2:B$24,2,FALSE),0)</f>
        <v>878.51934462886106</v>
      </c>
      <c r="X73" s="193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hidden="1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620537.39357630478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>
        <f t="shared" ca="1" si="9"/>
        <v>-620537.39357630478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hidden="1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12983496.711335782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2064375.9771023891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1051663.233618198</v>
      </c>
      <c r="O75" s="195">
        <f t="shared" si="20"/>
        <v>1051663.233618198</v>
      </c>
      <c r="P75" s="205">
        <f t="shared" si="10"/>
        <v>9867457.5006151944</v>
      </c>
      <c r="Q75" s="192">
        <f>IFERROR(VLOOKUP(A75,[1]Energiindhold!$A$2:$C$11,3,FALSE),IFERROR(VLOOKUP(A75,[1]Biogasudbytte!$A$2:$B$18,2,FALSE)*[1]Energiindhold!$C$10,0))*O75</f>
        <v>0.53234141222519571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5.5271497244616015</v>
      </c>
      <c r="S75" s="192">
        <f>IFERROR(VLOOKUP(A75,[1]Biogasudbytte!$A$2:$B$18,2,FALSE)*[1]Energiindhold!$C$10,0)*J75*IFERROR(VLOOKUP(A75,Biogasanlæg!$F$3:$G$8,2,FALSE),1)</f>
        <v>4.9948083122364055</v>
      </c>
      <c r="T75" s="193">
        <f t="shared" si="11"/>
        <v>0.53234141222519593</v>
      </c>
      <c r="U75" s="191">
        <f>O75*IFERROR(VLOOKUP(A75,[1]Tørstofindhold!A$2:B$24,2,FALSE),0)</f>
        <v>79926.405754983047</v>
      </c>
      <c r="V75" s="192">
        <f>IF(D75=År1,P75,SUM(O75,P75))*IFERROR(VLOOKUP(A75,[1]Tørstofindhold!A$2:B$24,2,FALSE),0)</f>
        <v>829853.17580173782</v>
      </c>
      <c r="W75" s="192">
        <f>J75*IFERROR(VLOOKUP(A75,[1]Tørstofindhold!A$2:B$24,2,FALSE),0)</f>
        <v>749926.77004675474</v>
      </c>
      <c r="X75" s="193">
        <f t="shared" si="12"/>
        <v>79926.405754983076</v>
      </c>
      <c r="Y75" s="171">
        <f t="shared" si="21"/>
        <v>0</v>
      </c>
      <c r="Z75" s="103">
        <f t="shared" si="22"/>
        <v>1</v>
      </c>
    </row>
    <row r="76" spans="1:26" hidden="1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1620993.8653666629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105279.69169965154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7983307.7524896674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2011561.6525161136</v>
      </c>
      <c r="O77" s="195">
        <f t="shared" si="20"/>
        <v>1690869.0750561175</v>
      </c>
      <c r="P77" s="205">
        <f t="shared" si="10"/>
        <v>314692.31350359169</v>
      </c>
      <c r="Q77" s="192">
        <f>IFERROR(VLOOKUP(A77,[1]Energiindhold!$A$2:$C$11,3,FALSE),IFERROR(VLOOKUP(A77,[1]Biogasudbytte!$A$2:$B$18,2,FALSE)*[1]Energiindhold!$C$10,0))*O77</f>
        <v>6.070219979451462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2">
        <f>IFERROR(VLOOKUP(A77,[1]Biogasudbytte!$A$2:$B$18,2,FALSE)*[1]Energiindhold!$C$10,0)*J77*IFERROR(VLOOKUP(A77,Biogasanlæg!$F$3:$G$8,2,FALSE),1)</f>
        <v>1.1297454054778944</v>
      </c>
      <c r="T77" s="193">
        <f t="shared" si="11"/>
        <v>6.070219979451462</v>
      </c>
      <c r="U77" s="191">
        <f>O77*IFERROR(VLOOKUP(A77,[1]Tørstofindhold!A$2:B$24,2,FALSE),0)</f>
        <v>507260.7225168352</v>
      </c>
      <c r="V77" s="192">
        <f>IF(D77=År1,P77,SUM(O77,P77))*IFERROR(VLOOKUP(A77,[1]Tørstofindhold!A$2:B$24,2,FALSE),0)</f>
        <v>601668.41656791279</v>
      </c>
      <c r="W77" s="192">
        <f>J77*IFERROR(VLOOKUP(A77,[1]Tørstofindhold!A$2:B$24,2,FALSE),0)</f>
        <v>94407.694051077502</v>
      </c>
      <c r="X77" s="193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hidden="1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3127676.8816170068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2655270.0055985088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O79*IFERROR(VLOOKUP(A79,[1]Tørstofindhold!A$2:B$24,2,FALSE),0)</f>
        <v>21748.400817645732</v>
      </c>
      <c r="V79" s="192">
        <f>IF(D79=År1,P79,SUM(O79,P79))*IFERROR(VLOOKUP(A79,[1]Tørstofindhold!A$2:B$24,2,FALSE),0)</f>
        <v>21748.400817645732</v>
      </c>
      <c r="W79" s="192">
        <f>J79*IFERROR(VLOOKUP(A79,[1]Tørstofindhold!A$2:B$24,2,FALSE),0)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106168.13854148486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46139.885502582598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0</v>
      </c>
      <c r="Z80" s="103">
        <f t="shared" si="22"/>
        <v>1</v>
      </c>
    </row>
    <row r="81" spans="1:26" hidden="1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1683153.4103621913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1683153.4103621913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177516.46640303911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177516.46640303911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3.2663029818159193</v>
      </c>
      <c r="U82" s="191">
        <f>O82*IFERROR(VLOOKUP(A82,[1]Tørstofindhold!A$2:B$24,2,FALSE),0)</f>
        <v>0</v>
      </c>
      <c r="V82" s="192">
        <f>IF(D82=År1,P82,SUM(O82,P82))*IFERROR(VLOOKUP(A82,[1]Tørstofindhold!A$2:B$24,2,FALSE),0)</f>
        <v>73669.333557261241</v>
      </c>
      <c r="W82" s="192">
        <f>J82*IFERROR(VLOOKUP(A82,[1]Tørstofindhold!A$2:B$24,2,FALSE),0)</f>
        <v>0</v>
      </c>
      <c r="X82" s="193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hidden="1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O83*IFERROR(VLOOKUP(A83,[1]Tørstofindhold!A$2:B$24,2,FALSE),0)</f>
        <v>0</v>
      </c>
      <c r="V83" s="192">
        <f>IF(D83=År1,P83,SUM(O83,P83))*IFERROR(VLOOKUP(A83,[1]Tørstofindhold!A$2:B$24,2,FALSE),0)</f>
        <v>0</v>
      </c>
      <c r="W83" s="192">
        <f>J83*IFERROR(VLOOKUP(A83,[1]Tørstofindhold!A$2:B$24,2,FALSE),0)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O84*IFERROR(VLOOKUP(A84,[1]Tørstofindhold!A$2:B$24,2,FALSE),0)</f>
        <v>0</v>
      </c>
      <c r="V84" s="192">
        <f>IF(D84=År1,P84,SUM(O84,P84))*IFERROR(VLOOKUP(A84,[1]Tørstofindhold!A$2:B$24,2,FALSE),0)</f>
        <v>0</v>
      </c>
      <c r="W84" s="192">
        <f>J84*IFERROR(VLOOKUP(A84,[1]Tørstofindhold!A$2:B$24,2,FALSE),0)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4870431.535367866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4870431.535367866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507790.70515370794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253895.35257685397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39796.246485591721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162493.02564918654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162493.02564918654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5.6872558977215286</v>
      </c>
      <c r="U88" s="191">
        <f>O88*IFERROR(VLOOKUP(A88,[1]Tørstofindhold!A$2:B$24,2,FALSE),0)</f>
        <v>0</v>
      </c>
      <c r="V88" s="192">
        <f>IF(D88=År1,P88,SUM(O88,P88))*IFERROR(VLOOKUP(A88,[1]Tørstofindhold!A$2:B$24,2,FALSE),0)</f>
        <v>0</v>
      </c>
      <c r="W88" s="192">
        <f>J88*IFERROR(VLOOKUP(A88,[1]Tørstofindhold!A$2:B$24,2,FALSE),0)</f>
        <v>0</v>
      </c>
      <c r="X88" s="193">
        <f t="shared" si="26"/>
        <v>0</v>
      </c>
      <c r="Y88" s="171">
        <f t="shared" si="21"/>
        <v>0</v>
      </c>
      <c r="Z88" s="103">
        <f t="shared" si="22"/>
        <v>0</v>
      </c>
    </row>
    <row r="89" spans="1:26" hidden="1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395099.15710561507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-450144.18133328733</v>
      </c>
      <c r="O89" s="195">
        <f t="shared" si="20"/>
        <v>0</v>
      </c>
      <c r="P89" s="205">
        <f t="shared" si="24"/>
        <v>4075.7207832735812</v>
      </c>
      <c r="Q89" s="192">
        <f>IFERROR(VLOOKUP(A89,[1]Energiindhold!$A$2:$C$11,3,FALSE),IFERROR(VLOOKUP(A89,[1]Biogasudbytte!$A$2:$B$18,2,FALSE)*[1]Energiindhold!$C$10,0))*O89</f>
        <v>0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2">
        <f>IFERROR(VLOOKUP(A89,[1]Biogasudbytte!$A$2:$B$18,2,FALSE)*[1]Energiindhold!$C$10,0)*J89*IFERROR(VLOOKUP(A89,Biogasanlæg!$F$3:$G$8,2,FALSE),1)</f>
        <v>1.1061669234635831E-2</v>
      </c>
      <c r="T89" s="193">
        <f t="shared" si="25"/>
        <v>0</v>
      </c>
      <c r="U89" s="191">
        <f>O89*IFERROR(VLOOKUP(A89,[1]Tørstofindhold!A$2:B$24,2,FALSE),0)</f>
        <v>0</v>
      </c>
      <c r="V89" s="192">
        <f>IF(D89=År1,P89,SUM(O89,P89))*IFERROR(VLOOKUP(A89,[1]Tørstofindhold!A$2:B$24,2,FALSE),0)</f>
        <v>815.14415665471631</v>
      </c>
      <c r="W89" s="192">
        <f>J89*IFERROR(VLOOKUP(A89,[1]Tørstofindhold!A$2:B$24,2,FALSE),0)</f>
        <v>815.14415665471631</v>
      </c>
      <c r="X89" s="193">
        <f t="shared" si="26"/>
        <v>0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191123.07715634341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191123.07715634341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129693.32771377628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90277.592701158952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3973910.9975047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2466809.8451226354</v>
      </c>
      <c r="O92" s="195">
        <f t="shared" si="20"/>
        <v>2466809.8451226354</v>
      </c>
      <c r="P92" s="205">
        <f t="shared" si="24"/>
        <v>1507101.1523820646</v>
      </c>
      <c r="Q92" s="192">
        <f>IFERROR(VLOOKUP(A92,[1]Energiindhold!$A$2:$C$11,3,FALSE),IFERROR(VLOOKUP(A92,[1]Biogasudbytte!$A$2:$B$18,2,FALSE)*[1]Energiindhold!$C$10,0))*O92</f>
        <v>1.2309627808146464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2">
        <f>IFERROR(VLOOKUP(A92,[1]Biogasudbytte!$A$2:$B$18,2,FALSE)*[1]Energiindhold!$C$10,0)*J92*IFERROR(VLOOKUP(A92,Biogasanlæg!$F$3:$G$8,2,FALSE),1)</f>
        <v>0.75205854605017419</v>
      </c>
      <c r="T92" s="193">
        <f t="shared" si="25"/>
        <v>1.2309627808146462</v>
      </c>
      <c r="U92" s="191">
        <f>O92*IFERROR(VLOOKUP(A92,[1]Tørstofindhold!A$2:B$24,2,FALSE),0)</f>
        <v>148008.59070735812</v>
      </c>
      <c r="V92" s="192">
        <f>IF(D92=År1,P92,SUM(O92,P92))*IFERROR(VLOOKUP(A92,[1]Tørstofindhold!A$2:B$24,2,FALSE),0)</f>
        <v>238434.65985028198</v>
      </c>
      <c r="W92" s="192">
        <f>J92*IFERROR(VLOOKUP(A92,[1]Tørstofindhold!A$2:B$24,2,FALSE),0)</f>
        <v>90426.06914292388</v>
      </c>
      <c r="X92" s="193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15074833.175881069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7989661.5832169671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2">
        <f>IFERROR(VLOOKUP(A93,[1]Biogasudbytte!$A$2:$B$18,2,FALSE)*[1]Energiindhold!$C$10,0)*J93*IFERROR(VLOOKUP(A93,Biogasanlæg!$F$3:$G$8,2,FALSE),1)</f>
        <v>3.4419462100498701</v>
      </c>
      <c r="T93" s="193">
        <f t="shared" si="25"/>
        <v>0</v>
      </c>
      <c r="U93" s="191">
        <f>O93*IFERROR(VLOOKUP(A93,[1]Tørstofindhold!A$2:B$24,2,FALSE),0)</f>
        <v>0</v>
      </c>
      <c r="V93" s="192">
        <f>IF(D93=År1,P93,SUM(O93,P93))*IFERROR(VLOOKUP(A93,[1]Tørstofindhold!A$2:B$24,2,FALSE),0)</f>
        <v>399483.0791608484</v>
      </c>
      <c r="W93" s="192">
        <f>J93*IFERROR(VLOOKUP(A93,[1]Tørstofindhold!A$2:B$24,2,FALSE),0)</f>
        <v>399483.0791608484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1378013.0257817972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1256137.4817331168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O95*IFERROR(VLOOKUP(A95,[1]Tørstofindhold!A$2:B$24,2,FALSE),0)</f>
        <v>1620</v>
      </c>
      <c r="V95" s="192">
        <f>IF(D95=År1,P95,SUM(O95,P95))*IFERROR(VLOOKUP(A95,[1]Tørstofindhold!A$2:B$24,2,FALSE),0)</f>
        <v>1620</v>
      </c>
      <c r="W95" s="192">
        <f>J95*IFERROR(VLOOKUP(A95,[1]Tørstofindhold!A$2:B$24,2,FALSE),0)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hidden="1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2203715.0015238998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2203715.0015238998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31.93969521225883</v>
      </c>
      <c r="U97" s="191">
        <f>O97*IFERROR(VLOOKUP(A97,[1]Tørstofindhold!A$2:B$24,2,FALSE),0)</f>
        <v>0</v>
      </c>
      <c r="V97" s="192">
        <f>IF(D97=År1,P97,SUM(O97,P97))*IFERROR(VLOOKUP(A97,[1]Tørstofindhold!A$2:B$24,2,FALSE),0)</f>
        <v>1089920.7111703621</v>
      </c>
      <c r="W97" s="192">
        <f>J97*IFERROR(VLOOKUP(A97,[1]Tørstofindhold!A$2:B$24,2,FALSE),0)</f>
        <v>0</v>
      </c>
      <c r="X97" s="193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hidden="1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605932.0339558397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605932.0339558397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hidden="1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174373.27010647443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260463.0327135307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195964.55723833872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4">
        <f t="shared" ca="1" si="23"/>
        <v>-9.8743131762603298E-2</v>
      </c>
      <c r="O101" s="195">
        <f t="shared" ca="1" si="20"/>
        <v>0</v>
      </c>
      <c r="P101" s="205">
        <f t="shared" ca="1" si="24"/>
        <v>197484.23354298095</v>
      </c>
      <c r="Q101" s="192">
        <f ca="1">IFERROR(VLOOKUP(A101,[1]Energiindhold!$A$2:$C$11,3,FALSE),IFERROR(VLOOKUP(A101,[1]Biogasudbytte!$A$2:$B$18,2,FALSE)*[1]Energiindhold!$C$10,0))*O101</f>
        <v>0</v>
      </c>
      <c r="R101" s="192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2">
        <f ca="1">IFERROR(VLOOKUP(A101,[1]Biogasudbytte!$A$2:$B$18,2,FALSE)*[1]Energiindhold!$C$10,0)*J101*IFERROR(VLOOKUP(A101,Biogasanlæg!$F$3:$G$8,2,FALSE),1)</f>
        <v>0.67281101009991739</v>
      </c>
      <c r="T101" s="193">
        <f t="shared" ca="1" si="25"/>
        <v>0</v>
      </c>
      <c r="U101" s="191">
        <f ca="1">O101*IFERROR(VLOOKUP(A101,[1]Tørstofindhold!A$2:B$24,2,FALSE),0)</f>
        <v>0</v>
      </c>
      <c r="V101" s="192">
        <f ca="1">IF(D101=År1,P101,SUM(O101,P101))*IFERROR(VLOOKUP(A101,[1]Tørstofindhold!A$2:B$24,2,FALSE),0)</f>
        <v>55295.585392034671</v>
      </c>
      <c r="W101" s="192">
        <f ca="1">J101*IFERROR(VLOOKUP(A101,[1]Tørstofindhold!A$2:B$24,2,FALSE),0)</f>
        <v>55295.585392034671</v>
      </c>
      <c r="X101" s="193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498129173.15808135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ca="1" si="23"/>
        <v>0</v>
      </c>
      <c r="O102" s="195">
        <f t="shared" ca="1" si="20"/>
        <v>0</v>
      </c>
      <c r="P102" s="205">
        <f t="shared" ca="1" si="24"/>
        <v>498129173.15808135</v>
      </c>
      <c r="Q102" s="192">
        <f ca="1"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 ca="1">O102*IFERROR(VLOOKUP(A102,[1]Tørstofindhold!A$2:B$24,2,FALSE),0)</f>
        <v>0</v>
      </c>
      <c r="V102" s="192">
        <f ca="1"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hidden="1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19825065.796666823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>
        <f t="shared" ca="1" si="23"/>
        <v>2602582.122502137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hidden="1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O104*IFERROR(VLOOKUP(A104,[1]Tørstofindhold!A$2:B$24,2,FALSE),0)</f>
        <v>0</v>
      </c>
      <c r="V104" s="192">
        <f>IF(D104=År1,P104,SUM(O104,P104))*IFERROR(VLOOKUP(A104,[1]Tørstofindhold!A$2:B$24,2,FALSE),0)</f>
        <v>0</v>
      </c>
      <c r="W104" s="192">
        <f>J104*IFERROR(VLOOKUP(A104,[1]Tørstofindhold!A$2:B$24,2,FALSE),0)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hidden="1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2777977.7276885756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863157.36538895033</v>
      </c>
      <c r="O105" s="195">
        <f t="shared" si="20"/>
        <v>863157.36538895033</v>
      </c>
      <c r="P105" s="205">
        <f t="shared" si="24"/>
        <v>1388988.8638442878</v>
      </c>
      <c r="Q105" s="192">
        <f>IFERROR(VLOOKUP(A105,[1]Energiindhold!$A$2:$C$11,3,FALSE),IFERROR(VLOOKUP(A105,[1]Biogasudbytte!$A$2:$B$18,2,FALSE)*[1]Energiindhold!$C$10,0))*O105</f>
        <v>1.859240965047799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2">
        <f>IFERROR(VLOOKUP(A105,[1]Biogasudbytte!$A$2:$B$18,2,FALSE)*[1]Energiindhold!$C$10,0)*J105*IFERROR(VLOOKUP(A105,Biogasanlæg!$F$3:$G$8,2,FALSE),1)</f>
        <v>2.9918820127205961</v>
      </c>
      <c r="T105" s="193">
        <f t="shared" si="25"/>
        <v>1.8592409650477992</v>
      </c>
      <c r="U105" s="191">
        <f>O105*IFERROR(VLOOKUP(A105,[1]Tørstofindhold!A$2:B$24,2,FALSE),0)</f>
        <v>258947.20961668508</v>
      </c>
      <c r="V105" s="192">
        <f>IF(D105=År1,P105,SUM(O105,P105))*IFERROR(VLOOKUP(A105,[1]Tørstofindhold!A$2:B$24,2,FALSE),0)</f>
        <v>675643.8687699713</v>
      </c>
      <c r="W105" s="192">
        <f>J105*IFERROR(VLOOKUP(A105,[1]Tørstofindhold!A$2:B$24,2,FALSE),0)</f>
        <v>416696.65915328631</v>
      </c>
      <c r="X105" s="193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hidden="1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hidden="1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3261.5941520826309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1046.1717091585797</v>
      </c>
      <c r="O107" s="195">
        <f t="shared" si="20"/>
        <v>1046.1717091585797</v>
      </c>
      <c r="P107" s="205">
        <f t="shared" si="24"/>
        <v>4307.7658612412106</v>
      </c>
      <c r="Q107" s="192">
        <f>IFERROR(VLOOKUP(A107,[1]Energiindhold!$A$2:$C$11,3,FALSE),IFERROR(VLOOKUP(A107,[1]Biogasudbytte!$A$2:$B$18,2,FALSE)*[1]Energiindhold!$C$10,0))*O107</f>
        <v>4.9200409310018846E-4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2.5179032999833174E-3</v>
      </c>
      <c r="S107" s="192">
        <f>IFERROR(VLOOKUP(A107,[1]Biogasudbytte!$A$2:$B$18,2,FALSE)*[1]Energiindhold!$C$10,0)*J107*IFERROR(VLOOKUP(A107,Biogasanlæg!$F$3:$G$8,2,FALSE),1)</f>
        <v>2.025899206883129E-3</v>
      </c>
      <c r="T107" s="193">
        <f t="shared" si="25"/>
        <v>4.9200409310018846E-4</v>
      </c>
      <c r="U107" s="191">
        <f>O107*IFERROR(VLOOKUP(A107,[1]Tørstofindhold!A$2:B$24,2,FALSE),0)</f>
        <v>65.908817676990523</v>
      </c>
      <c r="V107" s="192">
        <f>IF(D107=År1,P107,SUM(O107,P107))*IFERROR(VLOOKUP(A107,[1]Tørstofindhold!A$2:B$24,2,FALSE),0)</f>
        <v>337.2980669351868</v>
      </c>
      <c r="W107" s="192">
        <f>J107*IFERROR(VLOOKUP(A107,[1]Tørstofindhold!A$2:B$24,2,FALSE),0)</f>
        <v>271.38924925819629</v>
      </c>
      <c r="X107" s="193">
        <f t="shared" si="26"/>
        <v>65.908817676990509</v>
      </c>
      <c r="Y107" s="171">
        <f t="shared" si="21"/>
        <v>0</v>
      </c>
      <c r="Z107" s="103">
        <f t="shared" si="22"/>
        <v>1</v>
      </c>
    </row>
    <row r="108" spans="1:26" hidden="1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136987.951622947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893493.81900150096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893493.81900150096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26150.496751056631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-241828.42359996482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16099999.551723864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3786782.588787023</v>
      </c>
      <c r="O112" s="195">
        <f t="shared" si="20"/>
        <v>3786782.588787023</v>
      </c>
      <c r="P112" s="205">
        <f t="shared" si="24"/>
        <v>75527.053678542041</v>
      </c>
      <c r="Q112" s="192">
        <f>IFERROR(VLOOKUP(A112,[1]Energiindhold!$A$2:$C$11,3,FALSE),IFERROR(VLOOKUP(A112,[1]Biogasudbytte!$A$2:$B$18,2,FALSE)*[1]Energiindhold!$C$10,0))*O112</f>
        <v>6.9672066155445247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7.1061669534313321</v>
      </c>
      <c r="S112" s="192">
        <f>IFERROR(VLOOKUP(A112,[1]Biogasudbytte!$A$2:$B$18,2,FALSE)*[1]Energiindhold!$C$10,0)*J112*IFERROR(VLOOKUP(A112,Biogasanlæg!$F$3:$G$8,2,FALSE),1)</f>
        <v>0.13896033788680753</v>
      </c>
      <c r="T112" s="193">
        <f t="shared" si="25"/>
        <v>6.9672066155445247</v>
      </c>
      <c r="U112" s="191">
        <f>O112*IFERROR(VLOOKUP(A112,[1]Tørstofindhold!A$2:B$24,2,FALSE),0)</f>
        <v>1060299.1248603666</v>
      </c>
      <c r="V112" s="192">
        <f>IF(D112=År1,P112,SUM(O112,P112))*IFERROR(VLOOKUP(A112,[1]Tørstofindhold!A$2:B$24,2,FALSE),0)</f>
        <v>1081446.6998903584</v>
      </c>
      <c r="W112" s="192">
        <f>J112*IFERROR(VLOOKUP(A112,[1]Tørstofindhold!A$2:B$24,2,FALSE),0)</f>
        <v>21147.575029991774</v>
      </c>
      <c r="X112" s="193">
        <f t="shared" si="26"/>
        <v>1060299.1248603666</v>
      </c>
      <c r="Y112" s="171">
        <f t="shared" si="21"/>
        <v>0</v>
      </c>
      <c r="Z112" s="103">
        <f t="shared" si="22"/>
        <v>1</v>
      </c>
    </row>
    <row r="113" spans="1:26" hidden="1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185255.23058853028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-95417.428094907984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hidden="1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2554079.4309541653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724013.50560011622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1056980.0318111223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92">
        <f>IFERROR(VLOOKUP(A115,[1]Biogasudbytte!$A$2:$B$18,2,FALSE)*[1]Energiindhold!$C$10,0)*J115*IFERROR(VLOOKUP(A115,Biogasanlæg!$F$3:$G$8,2,FALSE),1)</f>
        <v>0.30294400007808897</v>
      </c>
      <c r="T115" s="193">
        <f t="shared" si="25"/>
        <v>10.38165726157278</v>
      </c>
      <c r="U115" s="191">
        <f>O115*IFERROR(VLOOKUP(A115,[1]Tørstofindhold!A$2:B$24,2,FALSE),0)</f>
        <v>0</v>
      </c>
      <c r="V115" s="192">
        <f>IF(D115=År1,P115,SUM(O115,P115))*IFERROR(VLOOKUP(A115,[1]Tørstofindhold!A$2:B$24,2,FALSE),0)</f>
        <v>898433.02703945397</v>
      </c>
      <c r="W115" s="192">
        <f>J115*IFERROR(VLOOKUP(A115,[1]Tørstofindhold!A$2:B$24,2,FALSE),0)</f>
        <v>44662.321320531228</v>
      </c>
      <c r="X115" s="193">
        <f t="shared" si="26"/>
        <v>853770.70571892278</v>
      </c>
      <c r="Y115" s="171">
        <f t="shared" si="21"/>
        <v>0</v>
      </c>
      <c r="Z115" s="103">
        <f t="shared" si="22"/>
        <v>0</v>
      </c>
    </row>
    <row r="116" spans="1:26" hidden="1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O116*IFERROR(VLOOKUP(A116,[1]Tørstofindhold!A$2:B$24,2,FALSE),0)</f>
        <v>0</v>
      </c>
      <c r="V116" s="192">
        <f>IF(D116=År1,P116,SUM(O116,P116))*IFERROR(VLOOKUP(A116,[1]Tørstofindhold!A$2:B$24,2,FALSE),0)</f>
        <v>157464.59251181944</v>
      </c>
      <c r="W116" s="192">
        <f>J116*IFERROR(VLOOKUP(A116,[1]Tørstofindhold!A$2:B$24,2,FALSE),0)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hidden="1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-4828427.5390456226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hidden="1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519697.07047323068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-8.2607434829697013E-2</v>
      </c>
      <c r="O118" s="195">
        <f t="shared" si="20"/>
        <v>0</v>
      </c>
      <c r="P118" s="205">
        <f t="shared" si="24"/>
        <v>519697.15308066551</v>
      </c>
      <c r="Q118" s="192">
        <f>IFERROR(VLOOKUP(A118,[1]Energiindhold!$A$2:$C$11,3,FALSE),IFERROR(VLOOKUP(A118,[1]Biogasudbytte!$A$2:$B$18,2,FALSE)*[1]Energiindhold!$C$10,0))*O118</f>
        <v>0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92">
        <f>IFERROR(VLOOKUP(A118,[1]Biogasudbytte!$A$2:$B$18,2,FALSE)*[1]Energiindhold!$C$10,0)*J118*IFERROR(VLOOKUP(A118,Biogasanlæg!$F$3:$G$8,2,FALSE),1)</f>
        <v>1.9141280261891607</v>
      </c>
      <c r="T118" s="193">
        <f t="shared" si="25"/>
        <v>0</v>
      </c>
      <c r="U118" s="191">
        <f>O118*IFERROR(VLOOKUP(A118,[1]Tørstofindhold!A$2:B$24,2,FALSE),0)</f>
        <v>0</v>
      </c>
      <c r="V118" s="192">
        <f>IF(D118=År1,P118,SUM(O118,P118))*IFERROR(VLOOKUP(A118,[1]Tørstofindhold!A$2:B$24,2,FALSE),0)</f>
        <v>218272.80429387951</v>
      </c>
      <c r="W118" s="192">
        <f>J118*IFERROR(VLOOKUP(A118,[1]Tørstofindhold!A$2:B$24,2,FALSE),0)</f>
        <v>218272.80429387951</v>
      </c>
      <c r="X118" s="193">
        <f t="shared" si="26"/>
        <v>0</v>
      </c>
      <c r="Y118" s="171">
        <f t="shared" si="21"/>
        <v>1</v>
      </c>
      <c r="Z118" s="103">
        <f t="shared" si="22"/>
        <v>0</v>
      </c>
    </row>
    <row r="119" spans="1:26" hidden="1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772432.08575229661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772432.08575229661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2162497.7416876755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2034149.9429932388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6945589.6789912721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756078.17025540397</v>
      </c>
      <c r="O121" s="195">
        <f t="shared" si="20"/>
        <v>756078.17025540397</v>
      </c>
      <c r="P121" s="205">
        <f t="shared" si="24"/>
        <v>2825.7560217041437</v>
      </c>
      <c r="Q121" s="192">
        <f>IFERROR(VLOOKUP(A121,[1]Energiindhold!$A$2:$C$11,3,FALSE),IFERROR(VLOOKUP(A121,[1]Biogasudbytte!$A$2:$B$18,2,FALSE)*[1]Energiindhold!$C$10,0))*O121</f>
        <v>2.5894618821809234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2.5991397009494173</v>
      </c>
      <c r="S121" s="192">
        <f>IFERROR(VLOOKUP(A121,[1]Biogasudbytte!$A$2:$B$18,2,FALSE)*[1]Energiindhold!$C$10,0)*J121*IFERROR(VLOOKUP(A121,Biogasanlæg!$F$3:$G$8,2,FALSE),1)</f>
        <v>9.6778187684936554E-3</v>
      </c>
      <c r="T121" s="193">
        <f t="shared" si="25"/>
        <v>2.5894618821809234</v>
      </c>
      <c r="U121" s="191">
        <f>O121*IFERROR(VLOOKUP(A121,[1]Tørstofindhold!A$2:B$24,2,FALSE),0)</f>
        <v>234384.23277917522</v>
      </c>
      <c r="V121" s="192">
        <f>IF(D121=År1,P121,SUM(O121,P121))*IFERROR(VLOOKUP(A121,[1]Tørstofindhold!A$2:B$24,2,FALSE),0)</f>
        <v>235260.21714590353</v>
      </c>
      <c r="W121" s="192">
        <f>J121*IFERROR(VLOOKUP(A121,[1]Tørstofindhold!A$2:B$24,2,FALSE),0)</f>
        <v>875.9843667282845</v>
      </c>
      <c r="X121" s="193">
        <f t="shared" si="26"/>
        <v>234384.23277917525</v>
      </c>
      <c r="Y121" s="171">
        <f t="shared" si="21"/>
        <v>0</v>
      </c>
      <c r="Z121" s="103">
        <f t="shared" si="22"/>
        <v>1</v>
      </c>
    </row>
    <row r="122" spans="1:26" hidden="1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597110.0145929947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>
        <f t="shared" ca="1" si="23"/>
        <v>-597110.0145929947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hidden="1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12735406.502549823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2024929.6339054219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1031567.9267065357</v>
      </c>
      <c r="O123" s="195">
        <f t="shared" si="20"/>
        <v>1031567.9267065357</v>
      </c>
      <c r="P123" s="205">
        <f t="shared" si="24"/>
        <v>9678908.9419378657</v>
      </c>
      <c r="Q123" s="192">
        <f>IFERROR(VLOOKUP(A123,[1]Energiindhold!$A$2:$C$11,3,FALSE),IFERROR(VLOOKUP(A123,[1]Biogasudbytte!$A$2:$B$18,2,FALSE)*[1]Energiindhold!$C$10,0))*O123</f>
        <v>0.52216936881958143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5.4215362861391103</v>
      </c>
      <c r="S123" s="192">
        <f>IFERROR(VLOOKUP(A123,[1]Biogasudbytte!$A$2:$B$18,2,FALSE)*[1]Energiindhold!$C$10,0)*J123*IFERROR(VLOOKUP(A123,Biogasanlæg!$F$3:$G$8,2,FALSE),1)</f>
        <v>4.8993669173195284</v>
      </c>
      <c r="T123" s="193">
        <f t="shared" si="25"/>
        <v>0.52216936881958187</v>
      </c>
      <c r="U123" s="191">
        <f>O123*IFERROR(VLOOKUP(A123,[1]Tørstofindhold!A$2:B$24,2,FALSE),0)</f>
        <v>78399.16242969672</v>
      </c>
      <c r="V123" s="192">
        <f>IF(D123=År1,P123,SUM(O123,P123))*IFERROR(VLOOKUP(A123,[1]Tørstofindhold!A$2:B$24,2,FALSE),0)</f>
        <v>813996.24201697449</v>
      </c>
      <c r="W123" s="192">
        <f>J123*IFERROR(VLOOKUP(A123,[1]Tørstofindhold!A$2:B$24,2,FALSE),0)</f>
        <v>735597.07958727772</v>
      </c>
      <c r="X123" s="193">
        <f t="shared" si="26"/>
        <v>78399.162429696764</v>
      </c>
      <c r="Y123" s="171">
        <f t="shared" si="21"/>
        <v>0</v>
      </c>
      <c r="Z123" s="103">
        <f t="shared" si="22"/>
        <v>1</v>
      </c>
    </row>
    <row r="124" spans="1:26" hidden="1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1590883.4700780637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75169.296411052346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hidden="1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7786550.4071108392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1814971.496061408</v>
      </c>
      <c r="O125" s="195">
        <f t="shared" si="20"/>
        <v>1488865.2333387681</v>
      </c>
      <c r="P125" s="205">
        <f t="shared" si="24"/>
        <v>314525.12457946909</v>
      </c>
      <c r="Q125" s="192">
        <f>IFERROR(VLOOKUP(A125,[1]Energiindhold!$A$2:$C$11,3,FALSE),IFERROR(VLOOKUP(A125,[1]Biogasudbytte!$A$2:$B$18,2,FALSE)*[1]Energiindhold!$C$10,0))*O125</f>
        <v>5.3450261876861784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6.474171384926473</v>
      </c>
      <c r="S125" s="192">
        <f>IFERROR(VLOOKUP(A125,[1]Biogasudbytte!$A$2:$B$18,2,FALSE)*[1]Energiindhold!$C$10,0)*J125*IFERROR(VLOOKUP(A125,Biogasanlæg!$F$3:$G$8,2,FALSE),1)</f>
        <v>1.1291451972402942</v>
      </c>
      <c r="T125" s="193">
        <f t="shared" si="25"/>
        <v>5.3450261876861784</v>
      </c>
      <c r="U125" s="191">
        <f>O125*IFERROR(VLOOKUP(A125,[1]Tørstofindhold!A$2:B$24,2,FALSE),0)</f>
        <v>446659.5700016304</v>
      </c>
      <c r="V125" s="192">
        <f>IF(D125=År1,P125,SUM(O125,P125))*IFERROR(VLOOKUP(A125,[1]Tørstofindhold!A$2:B$24,2,FALSE),0)</f>
        <v>541017.10737547115</v>
      </c>
      <c r="W125" s="192">
        <f>J125*IFERROR(VLOOKUP(A125,[1]Tørstofindhold!A$2:B$24,2,FALSE),0)</f>
        <v>94357.537373840722</v>
      </c>
      <c r="X125" s="193">
        <f t="shared" si="26"/>
        <v>446659.57000163046</v>
      </c>
      <c r="Y125" s="171">
        <f t="shared" si="21"/>
        <v>0</v>
      </c>
      <c r="Z125" s="103">
        <f t="shared" si="22"/>
        <v>1</v>
      </c>
    </row>
    <row r="126" spans="1:26" hidden="1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3069579.4456842686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2578754.8968308186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O127*IFERROR(VLOOKUP(A127,[1]Tørstofindhold!A$2:B$24,2,FALSE),0)</f>
        <v>29214.269755046505</v>
      </c>
      <c r="V127" s="192">
        <f>IF(D127=År1,P127,SUM(O127,P127))*IFERROR(VLOOKUP(A127,[1]Tørstofindhold!A$2:B$24,2,FALSE),0)</f>
        <v>29214.269755046505</v>
      </c>
      <c r="W127" s="192">
        <f>J127*IFERROR(VLOOKUP(A127,[1]Tørstofindhold!A$2:B$24,2,FALSE),0)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102788.11573768182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40419.548064407238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hidden="1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1623142.2943438755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1623142.2943438755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171775.11908496951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171775.11908496951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3.1606621911634383</v>
      </c>
      <c r="U130" s="191">
        <f>O130*IFERROR(VLOOKUP(A130,[1]Tørstofindhold!A$2:B$24,2,FALSE),0)</f>
        <v>0</v>
      </c>
      <c r="V130" s="192">
        <f>IF(D130=År1,P130,SUM(O130,P130))*IFERROR(VLOOKUP(A130,[1]Tørstofindhold!A$2:B$24,2,FALSE),0)</f>
        <v>71286.674420262352</v>
      </c>
      <c r="W130" s="192">
        <f>J130*IFERROR(VLOOKUP(A130,[1]Tørstofindhold!A$2:B$24,2,FALSE),0)</f>
        <v>0</v>
      </c>
      <c r="X130" s="193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hidden="1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O131*IFERROR(VLOOKUP(A131,[1]Tørstofindhold!A$2:B$24,2,FALSE),0)</f>
        <v>0</v>
      </c>
      <c r="V131" s="192">
        <f>IF(D131=År1,P131,SUM(O131,P131))*IFERROR(VLOOKUP(A131,[1]Tørstofindhold!A$2:B$24,2,FALSE),0)</f>
        <v>0</v>
      </c>
      <c r="W131" s="192">
        <f>J131*IFERROR(VLOOKUP(A131,[1]Tørstofindhold!A$2:B$24,2,FALSE),0)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O132*IFERROR(VLOOKUP(A132,[1]Tørstofindhold!A$2:B$24,2,FALSE),0)</f>
        <v>0</v>
      </c>
      <c r="V132" s="192">
        <f>IF(D132=År1,P132,SUM(O132,P132))*IFERROR(VLOOKUP(A132,[1]Tørstofindhold!A$2:B$24,2,FALSE),0)</f>
        <v>0</v>
      </c>
      <c r="W132" s="192">
        <f>J132*IFERROR(VLOOKUP(A132,[1]Tørstofindhold!A$2:B$24,2,FALSE),0)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4779961.9648844432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4779961.9648844432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489039.95714195294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244519.97857097647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30420.87247971422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156492.78628542495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156492.78628542495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5.4772475199898727</v>
      </c>
      <c r="U136" s="191">
        <f>O136*IFERROR(VLOOKUP(A136,[1]Tørstofindhold!A$2:B$24,2,FALSE),0)</f>
        <v>0</v>
      </c>
      <c r="V136" s="192">
        <f>IF(D136=År1,P136,SUM(O136,P136))*IFERROR(VLOOKUP(A136,[1]Tørstofindhold!A$2:B$24,2,FALSE),0)</f>
        <v>0</v>
      </c>
      <c r="W136" s="192">
        <f>J136*IFERROR(VLOOKUP(A136,[1]Tørstofindhold!A$2:B$24,2,FALSE),0)</f>
        <v>0</v>
      </c>
      <c r="X136" s="193">
        <f t="shared" si="26"/>
        <v>0</v>
      </c>
      <c r="Y136" s="171">
        <f t="shared" si="43"/>
        <v>0</v>
      </c>
      <c r="Z136" s="103">
        <f t="shared" si="44"/>
        <v>0</v>
      </c>
    </row>
    <row r="137" spans="1:26" hidden="1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380710.74225422333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-464490.94617703476</v>
      </c>
      <c r="O137" s="195">
        <f t="shared" si="39"/>
        <v>0</v>
      </c>
      <c r="P137" s="205">
        <f t="shared" si="24"/>
        <v>4034.07077562927</v>
      </c>
      <c r="Q137" s="192">
        <f>IFERROR(VLOOKUP(A137,[1]Energiindhold!$A$2:$C$11,3,FALSE),IFERROR(VLOOKUP(A137,[1]Biogasudbytte!$A$2:$B$18,2,FALSE)*[1]Energiindhold!$C$10,0))*O137</f>
        <v>0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2">
        <f>IFERROR(VLOOKUP(A137,[1]Biogasudbytte!$A$2:$B$18,2,FALSE)*[1]Energiindhold!$C$10,0)*J137*IFERROR(VLOOKUP(A137,Biogasanlæg!$F$3:$G$8,2,FALSE),1)</f>
        <v>1.0948629447888865E-2</v>
      </c>
      <c r="T137" s="193">
        <f t="shared" si="25"/>
        <v>0</v>
      </c>
      <c r="U137" s="191">
        <f>O137*IFERROR(VLOOKUP(A137,[1]Tørstofindhold!A$2:B$24,2,FALSE),0)</f>
        <v>0</v>
      </c>
      <c r="V137" s="192">
        <f>IF(D137=År1,P137,SUM(O137,P137))*IFERROR(VLOOKUP(A137,[1]Tørstofindhold!A$2:B$24,2,FALSE),0)</f>
        <v>806.81415512585409</v>
      </c>
      <c r="W137" s="192">
        <f>J137*IFERROR(VLOOKUP(A137,[1]Tørstofindhold!A$2:B$24,2,FALSE),0)</f>
        <v>806.81415512585409</v>
      </c>
      <c r="X137" s="193">
        <f t="shared" si="26"/>
        <v>0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185567.16171821824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185567.16171821824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126100.24826746272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86684.513254845398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4121832.5977837904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2558632.3494776348</v>
      </c>
      <c r="O140" s="195">
        <f t="shared" si="39"/>
        <v>2558632.3494776348</v>
      </c>
      <c r="P140" s="205">
        <f t="shared" si="24"/>
        <v>1563200.2483061554</v>
      </c>
      <c r="Q140" s="192">
        <f>IFERROR(VLOOKUP(A140,[1]Energiindhold!$A$2:$C$11,3,FALSE),IFERROR(VLOOKUP(A140,[1]Biogasudbytte!$A$2:$B$18,2,FALSE)*[1]Energiindhold!$C$10,0))*O140</f>
        <v>1.2767831287128346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2">
        <f>IFERROR(VLOOKUP(A140,[1]Biogasudbytte!$A$2:$B$18,2,FALSE)*[1]Energiindhold!$C$10,0)*J140*IFERROR(VLOOKUP(A140,Biogasanlæg!$F$3:$G$8,2,FALSE),1)</f>
        <v>0.78005255590725475</v>
      </c>
      <c r="T140" s="193">
        <f t="shared" si="25"/>
        <v>1.2767831287128346</v>
      </c>
      <c r="U140" s="191">
        <f>O140*IFERROR(VLOOKUP(A140,[1]Tørstofindhold!A$2:B$24,2,FALSE),0)</f>
        <v>153517.94096865808</v>
      </c>
      <c r="V140" s="192">
        <f>IF(D140=År1,P140,SUM(O140,P140))*IFERROR(VLOOKUP(A140,[1]Tørstofindhold!A$2:B$24,2,FALSE),0)</f>
        <v>247309.9558670274</v>
      </c>
      <c r="W140" s="192">
        <f>J140*IFERROR(VLOOKUP(A140,[1]Tørstofindhold!A$2:B$24,2,FALSE),0)</f>
        <v>93792.014898369322</v>
      </c>
      <c r="X140" s="193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14432291.767579561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7649114.6368171675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92">
        <f>IFERROR(VLOOKUP(A141,[1]Biogasudbytte!$A$2:$B$18,2,FALSE)*[1]Energiindhold!$C$10,0)*J141*IFERROR(VLOOKUP(A141,Biogasanlæg!$F$3:$G$8,2,FALSE),1)</f>
        <v>3.2952385855408362</v>
      </c>
      <c r="T141" s="193">
        <f t="shared" si="25"/>
        <v>0</v>
      </c>
      <c r="U141" s="191">
        <f>O141*IFERROR(VLOOKUP(A141,[1]Tørstofindhold!A$2:B$24,2,FALSE),0)</f>
        <v>0</v>
      </c>
      <c r="V141" s="192">
        <f>IF(D141=År1,P141,SUM(O141,P141))*IFERROR(VLOOKUP(A141,[1]Tørstofindhold!A$2:B$24,2,FALSE),0)</f>
        <v>382455.73184085841</v>
      </c>
      <c r="W141" s="192">
        <f>J141*IFERROR(VLOOKUP(A141,[1]Tørstofindhold!A$2:B$24,2,FALSE),0)</f>
        <v>382455.73184085841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1340150.8748835563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1213523.7829408473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O143*IFERROR(VLOOKUP(A143,[1]Tørstofindhold!A$2:B$24,2,FALSE),0)</f>
        <v>2025</v>
      </c>
      <c r="V143" s="192">
        <f>IF(D143=År1,P143,SUM(O143,P143))*IFERROR(VLOOKUP(A143,[1]Tørstofindhold!A$2:B$24,2,FALSE),0)</f>
        <v>2025</v>
      </c>
      <c r="W143" s="192">
        <f>J143*IFERROR(VLOOKUP(A143,[1]Tørstofindhold!A$2:B$24,2,FALSE),0)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hidden="1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hidden="1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2001135.6433479721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2001135.6433479721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2001135.6433479721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29.003597326661179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29.003597326661179</v>
      </c>
      <c r="U145" s="191">
        <f>O145*IFERROR(VLOOKUP(A145,[1]Tørstofindhold!A$2:B$24,2,FALSE),0)</f>
        <v>0</v>
      </c>
      <c r="V145" s="192">
        <f>IF(D145=År1,P145,SUM(O145,P145))*IFERROR(VLOOKUP(A145,[1]Tørstofindhold!A$2:B$24,2,FALSE),0)</f>
        <v>989728.33693918446</v>
      </c>
      <c r="W145" s="192">
        <f>J145*IFERROR(VLOOKUP(A145,[1]Tørstofindhold!A$2:B$24,2,FALSE),0)</f>
        <v>0</v>
      </c>
      <c r="X145" s="193">
        <f t="shared" si="26"/>
        <v>989728.33693918446</v>
      </c>
      <c r="Y145" s="171">
        <f t="shared" si="43"/>
        <v>0</v>
      </c>
      <c r="Z145" s="103">
        <f t="shared" si="44"/>
        <v>0</v>
      </c>
    </row>
    <row r="146" spans="1:26" hidden="1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551646.84040095157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551646.84040095157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hidden="1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4">
        <f t="shared" ca="1" si="23"/>
        <v>-170507.33327986751</v>
      </c>
      <c r="O149" s="195">
        <f t="shared" ca="1" si="39"/>
        <v>0</v>
      </c>
      <c r="P149" s="205">
        <f t="shared" ca="1" si="24"/>
        <v>335590.35573220561</v>
      </c>
      <c r="Q149" s="192">
        <f ca="1">IFERROR(VLOOKUP(A149,[1]Energiindhold!$A$2:$C$11,3,FALSE),IFERROR(VLOOKUP(A149,[1]Biogasudbytte!$A$2:$B$18,2,FALSE)*[1]Energiindhold!$C$10,0))*O149</f>
        <v>0</v>
      </c>
      <c r="R149" s="192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2">
        <f ca="1">IFERROR(VLOOKUP(A149,[1]Biogasudbytte!$A$2:$B$18,2,FALSE)*[1]Energiindhold!$C$10,0)*J149*IFERROR(VLOOKUP(A149,Biogasanlæg!$F$3:$G$8,2,FALSE),1)</f>
        <v>1.1433261388476088</v>
      </c>
      <c r="T149" s="193">
        <f t="shared" ca="1" si="25"/>
        <v>0</v>
      </c>
      <c r="U149" s="191">
        <f ca="1">O149*IFERROR(VLOOKUP(A149,[1]Tørstofindhold!A$2:B$24,2,FALSE),0)</f>
        <v>0</v>
      </c>
      <c r="V149" s="192">
        <f ca="1">IF(D149=År1,P149,SUM(O149,P149))*IFERROR(VLOOKUP(A149,[1]Tørstofindhold!A$2:B$24,2,FALSE),0)</f>
        <v>93965.299605017586</v>
      </c>
      <c r="W149" s="192">
        <f ca="1">J149*IFERROR(VLOOKUP(A149,[1]Tørstofindhold!A$2:B$24,2,FALSE),0)</f>
        <v>93965.299605017586</v>
      </c>
      <c r="X149" s="193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ca="1" si="48">F150-SUM(G150:M150)</f>
        <v>0</v>
      </c>
      <c r="O150" s="195">
        <f t="shared" ca="1" si="39"/>
        <v>0</v>
      </c>
      <c r="P150" s="205">
        <f t="shared" ref="P150:P215" ca="1" si="49">SUM(J150,L150)</f>
        <v>110817031.25294524</v>
      </c>
      <c r="Q150" s="192">
        <f ca="1"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 ca="1">O150*IFERROR(VLOOKUP(A150,[1]Tørstofindhold!A$2:B$24,2,FALSE),0)</f>
        <v>0</v>
      </c>
      <c r="V150" s="192">
        <f ca="1"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>
        <f t="shared" ca="1" si="48"/>
        <v>661163.5565235524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hidden="1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O152*IFERROR(VLOOKUP(A152,[1]Tørstofindhold!A$2:B$24,2,FALSE),0)</f>
        <v>0</v>
      </c>
      <c r="V152" s="192">
        <f>IF(D152=År1,P152,SUM(O152,P152))*IFERROR(VLOOKUP(A152,[1]Tørstofindhold!A$2:B$24,2,FALSE),0)</f>
        <v>0</v>
      </c>
      <c r="W152" s="192">
        <f>J152*IFERROR(VLOOKUP(A152,[1]Tørstofindhold!A$2:B$24,2,FALSE),0)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O153*IFERROR(VLOOKUP(A153,[1]Tørstofindhold!A$2:B$24,2,FALSE),0)</f>
        <v>46023.172979508287</v>
      </c>
      <c r="V153" s="192">
        <f>IF(D153=År1,P153,SUM(O153,P153))*IFERROR(VLOOKUP(A153,[1]Tørstofindhold!A$2:B$24,2,FALSE),0)</f>
        <v>25767.69853491227</v>
      </c>
      <c r="W153" s="192">
        <f>J153*IFERROR(VLOOKUP(A153,[1]Tørstofindhold!A$2:B$24,2,FALSE),0)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O155*IFERROR(VLOOKUP(A155,[1]Tørstofindhold!A$2:B$24,2,FALSE),0)</f>
        <v>5.1667154758723441</v>
      </c>
      <c r="V155" s="192">
        <f>IF(D155=År1,P155,SUM(O155,P155))*IFERROR(VLOOKUP(A155,[1]Tørstofindhold!A$2:B$24,2,FALSE),0)</f>
        <v>21.274710783003783</v>
      </c>
      <c r="W155" s="192">
        <f>J155*IFERROR(VLOOKUP(A155,[1]Tørstofindhold!A$2:B$24,2,FALSE),0)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hidden="1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O160*IFERROR(VLOOKUP(A160,[1]Tørstofindhold!A$2:B$24,2,FALSE),0)</f>
        <v>158991.90017574377</v>
      </c>
      <c r="V160" s="192">
        <f>IF(D160=År1,P160,SUM(O160,P160))*IFERROR(VLOOKUP(A160,[1]Tørstofindhold!A$2:B$24,2,FALSE),0)</f>
        <v>2780.6341080944362</v>
      </c>
      <c r="W160" s="192">
        <f>J160*IFERROR(VLOOKUP(A160,[1]Tørstofindhold!A$2:B$24,2,FALSE),0)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O163*IFERROR(VLOOKUP(A163,[1]Tørstofindhold!A$2:B$24,2,FALSE),0)</f>
        <v>0</v>
      </c>
      <c r="V163" s="192">
        <f>IF(D163=År1,P163,SUM(O163,P163))*IFERROR(VLOOKUP(A163,[1]Tørstofindhold!A$2:B$24,2,FALSE),0)</f>
        <v>643424.50540230493</v>
      </c>
      <c r="W163" s="192">
        <f>J163*IFERROR(VLOOKUP(A163,[1]Tørstofindhold!A$2:B$24,2,FALSE),0)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O164*IFERROR(VLOOKUP(A164,[1]Tørstofindhold!A$2:B$24,2,FALSE),0)</f>
        <v>0</v>
      </c>
      <c r="V164" s="192">
        <f>IF(D164=År1,P164,SUM(O164,P164))*IFERROR(VLOOKUP(A164,[1]Tørstofindhold!A$2:B$24,2,FALSE),0)</f>
        <v>135703.9537013004</v>
      </c>
      <c r="W164" s="192">
        <f>J164*IFERROR(VLOOKUP(A164,[1]Tørstofindhold!A$2:B$24,2,FALSE),0)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2">
        <f>IFERROR(VLOOKUP(A166,[1]Biogasudbytte!$A$2:$B$18,2,FALSE)*[1]Energiindhold!$C$10,0)*J166*IFERROR(VLOOKUP(A166,Biogasanlæg!$F$3:$G$8,2,FALSE),1)</f>
        <v>1.0296284310673407</v>
      </c>
      <c r="T166" s="193">
        <f t="shared" si="50"/>
        <v>0</v>
      </c>
      <c r="U166" s="191">
        <f>O166*IFERROR(VLOOKUP(A166,[1]Tørstofindhold!A$2:B$24,2,FALSE),0)</f>
        <v>0</v>
      </c>
      <c r="V166" s="192">
        <f>IF(D166=År1,P166,SUM(O166,P166))*IFERROR(VLOOKUP(A166,[1]Tørstofindhold!A$2:B$24,2,FALSE),0)</f>
        <v>117411.1041450089</v>
      </c>
      <c r="W166" s="192">
        <f>J166*IFERROR(VLOOKUP(A166,[1]Tørstofindhold!A$2:B$24,2,FALSE),0)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O169*IFERROR(VLOOKUP(A169,[1]Tørstofindhold!A$2:B$24,2,FALSE),0)</f>
        <v>405810.34249165189</v>
      </c>
      <c r="V169" s="192">
        <f>IF(D169=År1,P169,SUM(O169,P169))*IFERROR(VLOOKUP(A169,[1]Tørstofindhold!A$2:B$24,2,FALSE),0)</f>
        <v>293.20254797942562</v>
      </c>
      <c r="W169" s="192">
        <f>J169*IFERROR(VLOOKUP(A169,[1]Tørstofindhold!A$2:B$24,2,FALSE),0)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387847.14852834243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>
        <f t="shared" ca="1" si="48"/>
        <v>-387847.14852834243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hidden="1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O171*IFERROR(VLOOKUP(A171,[1]Tørstofindhold!A$2:B$24,2,FALSE),0)</f>
        <v>16375.964438075878</v>
      </c>
      <c r="V171" s="192">
        <f>IF(D171=År1,P171,SUM(O171,P171))*IFERROR(VLOOKUP(A171,[1]Tørstofindhold!A$2:B$24,2,FALSE),0)</f>
        <v>21785.024548619625</v>
      </c>
      <c r="W171" s="192">
        <f>J171*IFERROR(VLOOKUP(A171,[1]Tørstofindhold!A$2:B$24,2,FALSE),0)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hidden="1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O173*IFERROR(VLOOKUP(A173,[1]Tørstofindhold!A$2:B$24,2,FALSE),0)</f>
        <v>0</v>
      </c>
      <c r="V173" s="192">
        <f>IF(D173=År1,P173,SUM(O173,P173))*IFERROR(VLOOKUP(A173,[1]Tørstofindhold!A$2:B$24,2,FALSE),0)</f>
        <v>4561.3695205316753</v>
      </c>
      <c r="W173" s="192">
        <f>J173*IFERROR(VLOOKUP(A173,[1]Tørstofindhold!A$2:B$24,2,FALSE),0)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O175*IFERROR(VLOOKUP(A175,[1]Tørstofindhold!A$2:B$24,2,FALSE),0)</f>
        <v>0.17965298253572234</v>
      </c>
      <c r="V175" s="192">
        <f>IF(D175=År1,P175,SUM(O175,P175))*IFERROR(VLOOKUP(A175,[1]Tørstofindhold!A$2:B$24,2,FALSE),0)</f>
        <v>0</v>
      </c>
      <c r="W175" s="192">
        <f>J175*IFERROR(VLOOKUP(A175,[1]Tørstofindhold!A$2:B$24,2,FALSE),0)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O178*IFERROR(VLOOKUP(A178,[1]Tørstofindhold!A$2:B$24,2,FALSE),0)</f>
        <v>0</v>
      </c>
      <c r="V178" s="192">
        <f>IF(D178=År1,P178,SUM(O178,P178))*IFERROR(VLOOKUP(A178,[1]Tørstofindhold!A$2:B$24,2,FALSE),0)</f>
        <v>15594.58777718433</v>
      </c>
      <c r="W178" s="192">
        <f>J178*IFERROR(VLOOKUP(A178,[1]Tørstofindhold!A$2:B$24,2,FALSE),0)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25">
      <c r="A179" s="194" t="s">
        <v>317</v>
      </c>
      <c r="B179" s="194" t="s">
        <v>323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O179*IFERROR(VLOOKUP(A179,[1]Tørstofindhold!A$2:B$24,2,FALSE),0)</f>
        <v>0</v>
      </c>
      <c r="V179" s="192">
        <f>IF(D179=År1,P179,SUM(O179,P179))*IFERROR(VLOOKUP(A179,[1]Tørstofindhold!A$2:B$24,2,FALSE),0)</f>
        <v>0</v>
      </c>
      <c r="W179" s="192">
        <f>J179*IFERROR(VLOOKUP(A179,[1]Tørstofindhold!A$2:B$24,2,FALSE),0)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4" t="s">
        <v>318</v>
      </c>
      <c r="B180" s="194" t="s">
        <v>323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O180*IFERROR(VLOOKUP(A180,[1]Tørstofindhold!A$2:B$24,2,FALSE),0)</f>
        <v>0</v>
      </c>
      <c r="V180" s="192">
        <f>IF(D180=År1,P180,SUM(O180,P180))*IFERROR(VLOOKUP(A180,[1]Tørstofindhold!A$2:B$24,2,FALSE),0)</f>
        <v>0</v>
      </c>
      <c r="W180" s="192">
        <f>J180*IFERROR(VLOOKUP(A180,[1]Tørstofindhold!A$2:B$24,2,FALSE),0)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4">
        <f t="shared" si="48"/>
        <v>0</v>
      </c>
      <c r="O184" s="195">
        <f t="shared" si="39"/>
        <v>0</v>
      </c>
      <c r="P184" s="205">
        <f t="shared" si="49"/>
        <v>32210.735628649098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1.1273757470027184</v>
      </c>
      <c r="U184" s="191">
        <f>O184*IFERROR(VLOOKUP(A184,[1]Tørstofindhold!A$2:B$24,2,FALSE),0)</f>
        <v>0</v>
      </c>
      <c r="V184" s="192">
        <f>IF(D184=År1,P184,SUM(O184,P184))*IFERROR(VLOOKUP(A184,[1]Tørstofindhold!A$2:B$24,2,FALSE),0)</f>
        <v>0</v>
      </c>
      <c r="W184" s="192">
        <f>J184*IFERROR(VLOOKUP(A184,[1]Tørstofindhold!A$2:B$24,2,FALSE),0)</f>
        <v>0</v>
      </c>
      <c r="X184" s="193">
        <f t="shared" si="51"/>
        <v>0</v>
      </c>
      <c r="Y184" s="171">
        <f t="shared" si="43"/>
        <v>0</v>
      </c>
      <c r="Z184" s="103">
        <f t="shared" si="44"/>
        <v>0</v>
      </c>
    </row>
    <row r="185" spans="1:26" hidden="1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O185*IFERROR(VLOOKUP(A185,[1]Tørstofindhold!A$2:B$24,2,FALSE),0)</f>
        <v>331272.92830018292</v>
      </c>
      <c r="V185" s="192">
        <f>IF(D185=År1,P185,SUM(O185,P185))*IFERROR(VLOOKUP(A185,[1]Tørstofindhold!A$2:B$24,2,FALSE),0)</f>
        <v>4908.7902151605549</v>
      </c>
      <c r="W185" s="192">
        <f>J185*IFERROR(VLOOKUP(A185,[1]Tørstofindhold!A$2:B$24,2,FALSE),0)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O188*IFERROR(VLOOKUP(A188,[1]Tørstofindhold!A$2:B$24,2,FALSE),0)</f>
        <v>118698.59693418349</v>
      </c>
      <c r="V188" s="192">
        <f>IF(D188=År1,P188,SUM(O188,P188))*IFERROR(VLOOKUP(A188,[1]Tørstofindhold!A$2:B$24,2,FALSE),0)</f>
        <v>72519.084752050971</v>
      </c>
      <c r="W188" s="192">
        <f>J188*IFERROR(VLOOKUP(A188,[1]Tørstofindhold!A$2:B$24,2,FALSE),0)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O189*IFERROR(VLOOKUP(A189,[1]Tørstofindhold!A$2:B$24,2,FALSE),0)</f>
        <v>0</v>
      </c>
      <c r="V189" s="192">
        <f>IF(D189=År1,P189,SUM(O189,P189))*IFERROR(VLOOKUP(A189,[1]Tørstofindhold!A$2:B$24,2,FALSE),0)</f>
        <v>19021.363017805568</v>
      </c>
      <c r="W189" s="192">
        <f>J189*IFERROR(VLOOKUP(A189,[1]Tørstofindhold!A$2:B$24,2,FALSE),0)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O191*IFERROR(VLOOKUP(A191,[1]Tørstofindhold!A$2:B$24,2,FALSE),0)</f>
        <v>0</v>
      </c>
      <c r="V191" s="192">
        <f>IF(D191=År1,P191,SUM(O191,P191))*IFERROR(VLOOKUP(A191,[1]Tørstofindhold!A$2:B$24,2,FALSE),0)</f>
        <v>0</v>
      </c>
      <c r="W191" s="192">
        <f>J191*IFERROR(VLOOKUP(A191,[1]Tørstofindhold!A$2:B$24,2,FALSE),0)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hidden="1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O193*IFERROR(VLOOKUP(A193,[1]Tørstofindhold!A$2:B$24,2,FALSE),0)</f>
        <v>0</v>
      </c>
      <c r="V193" s="192">
        <f>IF(D193=År1,P193,SUM(O193,P193))*IFERROR(VLOOKUP(A193,[1]Tørstofindhold!A$2:B$24,2,FALSE),0)</f>
        <v>337109.41129074246</v>
      </c>
      <c r="W193" s="192">
        <f>J193*IFERROR(VLOOKUP(A193,[1]Tørstofindhold!A$2:B$24,2,FALSE),0)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hidden="1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hidden="1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-10265.860686730583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28552.425442007137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20635.80868826704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4">
        <f t="shared" ca="1" si="48"/>
        <v>-1.3112847955198959E-2</v>
      </c>
      <c r="O197" s="195">
        <f t="shared" ca="1" si="59"/>
        <v>0</v>
      </c>
      <c r="P197" s="205">
        <f t="shared" ca="1" si="49"/>
        <v>168912.75887120995</v>
      </c>
      <c r="Q197" s="192">
        <f ca="1">IFERROR(VLOOKUP(A197,[1]Energiindhold!$A$2:$C$11,3,FALSE),IFERROR(VLOOKUP(A197,[1]Biogasudbytte!$A$2:$B$18,2,FALSE)*[1]Energiindhold!$C$10,0))*O197</f>
        <v>0</v>
      </c>
      <c r="R197" s="192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2">
        <f ca="1">IFERROR(VLOOKUP(A197,[1]Biogasudbytte!$A$2:$B$18,2,FALSE)*[1]Energiindhold!$C$10,0)*J197*IFERROR(VLOOKUP(A197,Biogasanlæg!$F$3:$G$8,2,FALSE),1)</f>
        <v>0.57547056732591406</v>
      </c>
      <c r="T197" s="193">
        <f t="shared" ca="1" si="50"/>
        <v>0</v>
      </c>
      <c r="U197" s="191">
        <f ca="1">O197*IFERROR(VLOOKUP(A197,[1]Tørstofindhold!A$2:B$24,2,FALSE),0)</f>
        <v>0</v>
      </c>
      <c r="V197" s="192">
        <f ca="1">IF(D197=År1,P197,SUM(O197,P197))*IFERROR(VLOOKUP(A197,[1]Tørstofindhold!A$2:B$24,2,FALSE),0)</f>
        <v>47295.572483938791</v>
      </c>
      <c r="W197" s="192">
        <f ca="1">J197*IFERROR(VLOOKUP(A197,[1]Tørstofindhold!A$2:B$24,2,FALSE),0)</f>
        <v>47295.572483938791</v>
      </c>
      <c r="X197" s="193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108792396.63373713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ca="1" si="48"/>
        <v>0</v>
      </c>
      <c r="O198" s="195">
        <f t="shared" ca="1" si="59"/>
        <v>0</v>
      </c>
      <c r="P198" s="205">
        <f t="shared" ca="1" si="49"/>
        <v>108792396.63373713</v>
      </c>
      <c r="Q198" s="192">
        <f ca="1"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 ca="1">O198*IFERROR(VLOOKUP(A198,[1]Tørstofindhold!A$2:B$24,2,FALSE),0)</f>
        <v>0</v>
      </c>
      <c r="V198" s="192">
        <f ca="1"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hidden="1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3475869.7995257122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>
        <f t="shared" ca="1" si="48"/>
        <v>428818.38182304427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hidden="1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O200*IFERROR(VLOOKUP(A200,[1]Tørstofindhold!A$2:B$24,2,FALSE),0)</f>
        <v>0</v>
      </c>
      <c r="V200" s="192">
        <f>IF(D200=År1,P200,SUM(O200,P200))*IFERROR(VLOOKUP(A200,[1]Tørstofindhold!A$2:B$24,2,FALSE),0)</f>
        <v>0</v>
      </c>
      <c r="W200" s="192">
        <f>J200*IFERROR(VLOOKUP(A200,[1]Tørstofindhold!A$2:B$24,2,FALSE),0)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hidden="1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358055.10959218151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111252.83762328496</v>
      </c>
      <c r="O201" s="195">
        <f t="shared" si="59"/>
        <v>111252.83762328496</v>
      </c>
      <c r="P201" s="205">
        <f t="shared" si="49"/>
        <v>179027.55479609076</v>
      </c>
      <c r="Q201" s="192">
        <f>IFERROR(VLOOKUP(A201,[1]Energiindhold!$A$2:$C$11,3,FALSE),IFERROR(VLOOKUP(A201,[1]Biogasudbytte!$A$2:$B$18,2,FALSE)*[1]Energiindhold!$C$10,0))*O201</f>
        <v>0.2396386122405558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2">
        <f>IFERROR(VLOOKUP(A201,[1]Biogasudbytte!$A$2:$B$18,2,FALSE)*[1]Energiindhold!$C$10,0)*J201*IFERROR(VLOOKUP(A201,Biogasanlæg!$F$3:$G$8,2,FALSE),1)</f>
        <v>0.38562535303077949</v>
      </c>
      <c r="T201" s="193">
        <f t="shared" si="50"/>
        <v>0.23963861224055583</v>
      </c>
      <c r="U201" s="191">
        <f>O201*IFERROR(VLOOKUP(A201,[1]Tørstofindhold!A$2:B$24,2,FALSE),0)</f>
        <v>33375.851286985482</v>
      </c>
      <c r="V201" s="192">
        <f>IF(D201=År1,P201,SUM(O201,P201))*IFERROR(VLOOKUP(A201,[1]Tørstofindhold!A$2:B$24,2,FALSE),0)</f>
        <v>87084.117725812714</v>
      </c>
      <c r="W201" s="192">
        <f>J201*IFERROR(VLOOKUP(A201,[1]Tørstofindhold!A$2:B$24,2,FALSE),0)</f>
        <v>53708.266438827224</v>
      </c>
      <c r="X201" s="193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hidden="1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hidden="1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265.07644309358068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85.024519482846586</v>
      </c>
      <c r="O203" s="195">
        <f t="shared" si="59"/>
        <v>85.024519482846586</v>
      </c>
      <c r="P203" s="205">
        <f t="shared" si="49"/>
        <v>350.10096257642732</v>
      </c>
      <c r="Q203" s="192">
        <f>IFERROR(VLOOKUP(A203,[1]Energiindhold!$A$2:$C$11,3,FALSE),IFERROR(VLOOKUP(A203,[1]Biogasudbytte!$A$2:$B$18,2,FALSE)*[1]Energiindhold!$C$10,0))*O203</f>
        <v>3.9986181267587921E-5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2.0463516295765594E-4</v>
      </c>
      <c r="S203" s="192">
        <f>IFERROR(VLOOKUP(A203,[1]Biogasudbytte!$A$2:$B$18,2,FALSE)*[1]Energiindhold!$C$10,0)*J203*IFERROR(VLOOKUP(A203,Biogasanlæg!$F$3:$G$8,2,FALSE),1)</f>
        <v>1.6464898169006801E-4</v>
      </c>
      <c r="T203" s="193">
        <f t="shared" si="50"/>
        <v>3.9986181267587928E-5</v>
      </c>
      <c r="U203" s="191">
        <f>O203*IFERROR(VLOOKUP(A203,[1]Tørstofindhold!A$2:B$24,2,FALSE),0)</f>
        <v>5.356544727419335</v>
      </c>
      <c r="V203" s="192">
        <f>IF(D203=År1,P203,SUM(O203,P203))*IFERROR(VLOOKUP(A203,[1]Tørstofindhold!A$2:B$24,2,FALSE),0)</f>
        <v>27.412905369734258</v>
      </c>
      <c r="W203" s="192">
        <f>J203*IFERROR(VLOOKUP(A203,[1]Tørstofindhold!A$2:B$24,2,FALSE),0)</f>
        <v>22.056360642314921</v>
      </c>
      <c r="X203" s="193">
        <f t="shared" si="51"/>
        <v>5.3565447274193367</v>
      </c>
      <c r="Y203" s="171">
        <f t="shared" si="60"/>
        <v>0</v>
      </c>
      <c r="Z203" s="103">
        <f t="shared" si="61"/>
        <v>1</v>
      </c>
    </row>
    <row r="204" spans="1:26" hidden="1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-15316.072808753132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645001.32802557282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645001.32802557282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16686.121067916127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-206637.82158539316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2190992.6315255472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678861.61507578264</v>
      </c>
      <c r="O208" s="195">
        <f t="shared" si="59"/>
        <v>678861.61507578264</v>
      </c>
      <c r="P208" s="205">
        <f t="shared" si="49"/>
        <v>10062.940438050116</v>
      </c>
      <c r="Q208" s="192">
        <f>IFERROR(VLOOKUP(A208,[1]Energiindhold!$A$2:$C$11,3,FALSE),IFERROR(VLOOKUP(A208,[1]Biogasudbytte!$A$2:$B$18,2,FALSE)*[1]Energiindhold!$C$10,0))*O208</f>
        <v>1.2490205140375557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2">
        <f>IFERROR(VLOOKUP(A208,[1]Biogasudbytte!$A$2:$B$18,2,FALSE)*[1]Energiindhold!$C$10,0)*J208*IFERROR(VLOOKUP(A208,Biogasanlæg!$F$3:$G$8,2,FALSE),1)</f>
        <v>1.8514552538457459E-2</v>
      </c>
      <c r="T208" s="193">
        <f t="shared" si="50"/>
        <v>1.2490205140375557</v>
      </c>
      <c r="U208" s="191">
        <f>O208*IFERROR(VLOOKUP(A208,[1]Tørstofindhold!A$2:B$24,2,FALSE),0)</f>
        <v>190081.25222121915</v>
      </c>
      <c r="V208" s="192">
        <f>IF(D208=År1,P208,SUM(O208,P208))*IFERROR(VLOOKUP(A208,[1]Tørstofindhold!A$2:B$24,2,FALSE),0)</f>
        <v>192898.87554387318</v>
      </c>
      <c r="W208" s="192">
        <f>J208*IFERROR(VLOOKUP(A208,[1]Tørstofindhold!A$2:B$24,2,FALSE),0)</f>
        <v>2817.623322654033</v>
      </c>
      <c r="X208" s="193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hidden="1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100834.72491971773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-133067.72028032725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hidden="1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937754.98883303662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103520.85960187271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739344.68119675131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2">
        <f>IFERROR(VLOOKUP(A211,[1]Biogasudbytte!$A$2:$B$18,2,FALSE)*[1]Energiindhold!$C$10,0)*J211*IFERROR(VLOOKUP(A211,Biogasanlæg!$F$3:$G$8,2,FALSE),1)</f>
        <v>0.13298221347077202</v>
      </c>
      <c r="T211" s="193">
        <f t="shared" si="50"/>
        <v>7.4033280096831886</v>
      </c>
      <c r="U211" s="191">
        <f>O211*IFERROR(VLOOKUP(A211,[1]Tørstofindhold!A$2:B$24,2,FALSE),0)</f>
        <v>0</v>
      </c>
      <c r="V211" s="192">
        <f>IF(D211=År1,P211,SUM(O211,P211))*IFERROR(VLOOKUP(A211,[1]Tørstofindhold!A$2:B$24,2,FALSE),0)</f>
        <v>628442.9790172386</v>
      </c>
      <c r="W211" s="192">
        <f>J211*IFERROR(VLOOKUP(A211,[1]Tørstofindhold!A$2:B$24,2,FALSE),0)</f>
        <v>19605.254919774419</v>
      </c>
      <c r="X211" s="193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hidden="1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O212*IFERROR(VLOOKUP(A212,[1]Tørstofindhold!A$2:B$24,2,FALSE),0)</f>
        <v>0</v>
      </c>
      <c r="V212" s="192">
        <f>IF(D212=År1,P212,SUM(O212,P212))*IFERROR(VLOOKUP(A212,[1]Tørstofindhold!A$2:B$24,2,FALSE),0)</f>
        <v>136822.46703948267</v>
      </c>
      <c r="W212" s="192">
        <f>J212*IFERROR(VLOOKUP(A212,[1]Tørstofindhold!A$2:B$24,2,FALSE),0)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hidden="1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-592646.72642582119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hidden="1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202910.9816220197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0.11260809309897013</v>
      </c>
      <c r="O214" s="195">
        <f t="shared" si="59"/>
        <v>0.11260809309897013</v>
      </c>
      <c r="P214" s="205">
        <f t="shared" si="49"/>
        <v>202910.8690139266</v>
      </c>
      <c r="Q214" s="192">
        <f>IFERROR(VLOOKUP(A214,[1]Energiindhold!$A$2:$C$11,3,FALSE),IFERROR(VLOOKUP(A214,[1]Biogasudbytte!$A$2:$B$18,2,FALSE)*[1]Energiindhold!$C$10,0))*O214</f>
        <v>4.8794550644994054E-7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2">
        <f>IFERROR(VLOOKUP(A214,[1]Biogasudbytte!$A$2:$B$18,2,FALSE)*[1]Energiindhold!$C$10,0)*J214*IFERROR(VLOOKUP(A214,Biogasanlæg!$F$3:$G$8,2,FALSE),1)</f>
        <v>0.74735329777276838</v>
      </c>
      <c r="T214" s="193">
        <f t="shared" si="50"/>
        <v>4.8794550644437606E-7</v>
      </c>
      <c r="U214" s="191">
        <f>O214*IFERROR(VLOOKUP(A214,[1]Tørstofindhold!A$2:B$24,2,FALSE),0)</f>
        <v>4.7295399101567451E-2</v>
      </c>
      <c r="V214" s="192">
        <f>IF(D214=År1,P214,SUM(O214,P214))*IFERROR(VLOOKUP(A214,[1]Tørstofindhold!A$2:B$24,2,FALSE),0)</f>
        <v>85222.612281248264</v>
      </c>
      <c r="W214" s="192">
        <f>J214*IFERROR(VLOOKUP(A214,[1]Tørstofindhold!A$2:B$24,2,FALSE),0)</f>
        <v>85222.564985849167</v>
      </c>
      <c r="X214" s="193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hidden="1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153987.37784910508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153987.37784910508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122853.28204903381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15892.867409817249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2409167.1046716827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1430358.5908705737</v>
      </c>
      <c r="O217" s="195">
        <f t="shared" si="59"/>
        <v>1430358.5908705737</v>
      </c>
      <c r="P217" s="205">
        <f t="shared" si="63"/>
        <v>952.06663022948101</v>
      </c>
      <c r="Q217" s="192">
        <f>IFERROR(VLOOKUP(A217,[1]Energiindhold!$A$2:$C$11,3,FALSE),IFERROR(VLOOKUP(A217,[1]Biogasudbytte!$A$2:$B$18,2,FALSE)*[1]Energiindhold!$C$10,0))*O217</f>
        <v>4.8987779235289937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2">
        <f>IFERROR(VLOOKUP(A217,[1]Biogasudbytte!$A$2:$B$18,2,FALSE)*[1]Energiindhold!$C$10,0)*J217*IFERROR(VLOOKUP(A217,Biogasanlæg!$F$3:$G$8,2,FALSE),1)</f>
        <v>3.2606949192077409E-3</v>
      </c>
      <c r="T217" s="193">
        <f t="shared" si="64"/>
        <v>4.8987779235289937</v>
      </c>
      <c r="U217" s="191">
        <f>O217*IFERROR(VLOOKUP(A217,[1]Tørstofindhold!A$2:B$24,2,FALSE),0)</f>
        <v>443411.16316987784</v>
      </c>
      <c r="V217" s="192">
        <f>IF(D217=År1,P217,SUM(O217,P217))*IFERROR(VLOOKUP(A217,[1]Tørstofindhold!A$2:B$24,2,FALSE),0)</f>
        <v>443706.30382524902</v>
      </c>
      <c r="W217" s="192">
        <f>J217*IFERROR(VLOOKUP(A217,[1]Tørstofindhold!A$2:B$24,2,FALSE),0)</f>
        <v>295.14065537113913</v>
      </c>
      <c r="X217" s="193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hidden="1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371889.1498666883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>
        <f t="shared" ca="1" si="62"/>
        <v>-371889.1498666883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hidden="1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922789.17266620893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146723.47845392721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74745.922985962941</v>
      </c>
      <c r="O219" s="195">
        <f t="shared" si="59"/>
        <v>74745.922985962941</v>
      </c>
      <c r="P219" s="205">
        <f t="shared" si="63"/>
        <v>701319.77122631879</v>
      </c>
      <c r="Q219" s="192">
        <f>IFERROR(VLOOKUP(A219,[1]Energiindhold!$A$2:$C$11,3,FALSE),IFERROR(VLOOKUP(A219,[1]Biogasudbytte!$A$2:$B$18,2,FALSE)*[1]Energiindhold!$C$10,0))*O219</f>
        <v>3.7835638756264584E-2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0.39283669375331498</v>
      </c>
      <c r="S219" s="192">
        <f>IFERROR(VLOOKUP(A219,[1]Biogasudbytte!$A$2:$B$18,2,FALSE)*[1]Energiindhold!$C$10,0)*J219*IFERROR(VLOOKUP(A219,Biogasanlæg!$F$3:$G$8,2,FALSE),1)</f>
        <v>0.35500105499705037</v>
      </c>
      <c r="T219" s="193">
        <f t="shared" si="64"/>
        <v>3.7835638756264611E-2</v>
      </c>
      <c r="U219" s="191">
        <f>O219*IFERROR(VLOOKUP(A219,[1]Tørstofindhold!A$2:B$24,2,FALSE),0)</f>
        <v>5680.6901469331833</v>
      </c>
      <c r="V219" s="192">
        <f>IF(D219=År1,P219,SUM(O219,P219))*IFERROR(VLOOKUP(A219,[1]Tørstofindhold!A$2:B$24,2,FALSE),0)</f>
        <v>58980.992760133413</v>
      </c>
      <c r="W219" s="192">
        <f>J219*IFERROR(VLOOKUP(A219,[1]Tørstofindhold!A$2:B$24,2,FALSE),0)</f>
        <v>53300.302613200227</v>
      </c>
      <c r="X219" s="193">
        <f t="shared" si="65"/>
        <v>5680.690146933186</v>
      </c>
      <c r="Y219" s="171">
        <f t="shared" si="60"/>
        <v>0</v>
      </c>
      <c r="Z219" s="103">
        <f t="shared" si="61"/>
        <v>1</v>
      </c>
    </row>
    <row r="220" spans="1:26" hidden="1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115210.53389359287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-70829.959819299416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388994.37014569982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-320692.5774599961</v>
      </c>
      <c r="O221" s="195">
        <f t="shared" si="59"/>
        <v>0</v>
      </c>
      <c r="P221" s="205">
        <f t="shared" si="63"/>
        <v>15333.686496408332</v>
      </c>
      <c r="Q221" s="192">
        <f>IFERROR(VLOOKUP(A221,[1]Energiindhold!$A$2:$C$11,3,FALSE),IFERROR(VLOOKUP(A221,[1]Biogasudbytte!$A$2:$B$18,2,FALSE)*[1]Energiindhold!$C$10,0))*O221</f>
        <v>0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2">
        <f>IFERROR(VLOOKUP(A221,[1]Biogasudbytte!$A$2:$B$18,2,FALSE)*[1]Energiindhold!$C$10,0)*J221*IFERROR(VLOOKUP(A221,Biogasanlæg!$F$3:$G$8,2,FALSE),1)</f>
        <v>5.5047934522105921E-2</v>
      </c>
      <c r="T221" s="193">
        <f t="shared" si="64"/>
        <v>0</v>
      </c>
      <c r="U221" s="191">
        <f>O221*IFERROR(VLOOKUP(A221,[1]Tørstofindhold!A$2:B$24,2,FALSE),0)</f>
        <v>0</v>
      </c>
      <c r="V221" s="192">
        <f>IF(D221=År1,P221,SUM(O221,P221))*IFERROR(VLOOKUP(A221,[1]Tørstofindhold!A$2:B$24,2,FALSE),0)</f>
        <v>4600.1059489224999</v>
      </c>
      <c r="W221" s="192">
        <f>J221*IFERROR(VLOOKUP(A221,[1]Tørstofindhold!A$2:B$24,2,FALSE),0)</f>
        <v>4600.1059489224999</v>
      </c>
      <c r="X221" s="193">
        <f t="shared" si="65"/>
        <v>0</v>
      </c>
      <c r="Y221" s="171">
        <f t="shared" si="60"/>
        <v>0</v>
      </c>
      <c r="Z221" s="103">
        <f t="shared" si="61"/>
        <v>1</v>
      </c>
    </row>
    <row r="222" spans="1:26" hidden="1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222296.53737538058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-186738.89443173329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O223*IFERROR(VLOOKUP(A223,[1]Tørstofindhold!A$2:B$24,2,FALSE),0)</f>
        <v>486.50027670673614</v>
      </c>
      <c r="V223" s="192">
        <f>IF(D223=År1,P223,SUM(O223,P223))*IFERROR(VLOOKUP(A223,[1]Tørstofindhold!A$2:B$24,2,FALSE),0)</f>
        <v>486.50027670673614</v>
      </c>
      <c r="W223" s="192">
        <f>J223*IFERROR(VLOOKUP(A223,[1]Tørstofindhold!A$2:B$24,2,FALSE),0)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7545.7953205064359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-44429.913859121647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0</v>
      </c>
      <c r="Z224" s="103">
        <f t="shared" si="61"/>
        <v>1</v>
      </c>
    </row>
    <row r="225" spans="1:26" hidden="1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418150.43620360433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418150.43620360433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39419.677245239443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39419.677245239443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0.72532206131240562</v>
      </c>
      <c r="U226" s="191">
        <f>O226*IFERROR(VLOOKUP(A226,[1]Tørstofindhold!A$2:B$24,2,FALSE),0)</f>
        <v>0</v>
      </c>
      <c r="V226" s="192">
        <f>IF(D226=År1,P226,SUM(O226,P226))*IFERROR(VLOOKUP(A226,[1]Tørstofindhold!A$2:B$24,2,FALSE),0)</f>
        <v>16359.166056774371</v>
      </c>
      <c r="W226" s="192">
        <f>J226*IFERROR(VLOOKUP(A226,[1]Tørstofindhold!A$2:B$24,2,FALSE),0)</f>
        <v>0</v>
      </c>
      <c r="X226" s="193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hidden="1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O227*IFERROR(VLOOKUP(A227,[1]Tørstofindhold!A$2:B$24,2,FALSE),0)</f>
        <v>0</v>
      </c>
      <c r="V227" s="192">
        <f>IF(D227=År1,P227,SUM(O227,P227))*IFERROR(VLOOKUP(A227,[1]Tørstofindhold!A$2:B$24,2,FALSE),0)</f>
        <v>0</v>
      </c>
      <c r="W227" s="192">
        <f>J227*IFERROR(VLOOKUP(A227,[1]Tørstofindhold!A$2:B$24,2,FALSE),0)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O228*IFERROR(VLOOKUP(A228,[1]Tørstofindhold!A$2:B$24,2,FALSE),0)</f>
        <v>0</v>
      </c>
      <c r="V228" s="192">
        <f>IF(D228=År1,P228,SUM(O228,P228))*IFERROR(VLOOKUP(A228,[1]Tørstofindhold!A$2:B$24,2,FALSE),0)</f>
        <v>0</v>
      </c>
      <c r="W228" s="192">
        <f>J228*IFERROR(VLOOKUP(A228,[1]Tørstofindhold!A$2:B$24,2,FALSE),0)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346161.09873740864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346161.09873740864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204407.79128636757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102203.89564318379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75925.126141185407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65410.493211637622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65410.493211637622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2.2893672624073167</v>
      </c>
      <c r="U232" s="191">
        <f>O232*IFERROR(VLOOKUP(A232,[1]Tørstofindhold!A$2:B$24,2,FALSE),0)</f>
        <v>0</v>
      </c>
      <c r="V232" s="192">
        <f>IF(D232=År1,P232,SUM(O232,P232))*IFERROR(VLOOKUP(A232,[1]Tørstofindhold!A$2:B$24,2,FALSE),0)</f>
        <v>0</v>
      </c>
      <c r="W232" s="192">
        <f>J232*IFERROR(VLOOKUP(A232,[1]Tørstofindhold!A$2:B$24,2,FALSE),0)</f>
        <v>0</v>
      </c>
      <c r="X232" s="193">
        <f t="shared" si="65"/>
        <v>0</v>
      </c>
      <c r="Y232" s="171">
        <f t="shared" si="60"/>
        <v>0</v>
      </c>
      <c r="Z232" s="103">
        <f t="shared" si="61"/>
        <v>0</v>
      </c>
    </row>
    <row r="233" spans="1:26" hidden="1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2381738.5992335565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2253923.4431868028</v>
      </c>
      <c r="O233" s="195">
        <f t="shared" si="59"/>
        <v>1803779.2618535154</v>
      </c>
      <c r="P233" s="205">
        <f t="shared" si="63"/>
        <v>24569.279216726416</v>
      </c>
      <c r="Q233" s="192">
        <f>IFERROR(VLOOKUP(A233,[1]Energiindhold!$A$2:$C$11,3,FALSE),IFERROR(VLOOKUP(A233,[1]Biogasudbytte!$A$2:$B$18,2,FALSE)*[1]Energiindhold!$C$10,0))*O233</f>
        <v>4.8955290678409149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2">
        <f>IFERROR(VLOOKUP(A233,[1]Biogasudbytte!$A$2:$B$18,2,FALSE)*[1]Energiindhold!$C$10,0)*J233*IFERROR(VLOOKUP(A233,Biogasanlæg!$F$3:$G$8,2,FALSE),1)</f>
        <v>6.668200656536416E-2</v>
      </c>
      <c r="T233" s="193">
        <f t="shared" si="64"/>
        <v>4.8955290678409149</v>
      </c>
      <c r="U233" s="191">
        <f>O233*IFERROR(VLOOKUP(A233,[1]Tørstofindhold!A$2:B$24,2,FALSE),0)</f>
        <v>360755.85237070313</v>
      </c>
      <c r="V233" s="192">
        <f>IF(D233=År1,P233,SUM(O233,P233))*IFERROR(VLOOKUP(A233,[1]Tørstofindhold!A$2:B$24,2,FALSE),0)</f>
        <v>365669.70821404835</v>
      </c>
      <c r="W233" s="192">
        <f>J233*IFERROR(VLOOKUP(A233,[1]Tørstofindhold!A$2:B$24,2,FALSE),0)</f>
        <v>4913.8558433452836</v>
      </c>
      <c r="X233" s="193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22535.823292320583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22535.823292320583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18290.426254310609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13452.493793691661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3344054.0907642334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2075825.4422153998</v>
      </c>
      <c r="O236" s="195">
        <f t="shared" si="59"/>
        <v>2075825.4422153998</v>
      </c>
      <c r="P236" s="205">
        <f t="shared" si="63"/>
        <v>1268228.6485488336</v>
      </c>
      <c r="Q236" s="192">
        <f>IFERROR(VLOOKUP(A236,[1]Energiindhold!$A$2:$C$11,3,FALSE),IFERROR(VLOOKUP(A236,[1]Biogasudbytte!$A$2:$B$18,2,FALSE)*[1]Energiindhold!$C$10,0))*O236</f>
        <v>1.0358576539199069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2">
        <f>IFERROR(VLOOKUP(A236,[1]Biogasudbytte!$A$2:$B$18,2,FALSE)*[1]Energiindhold!$C$10,0)*J236*IFERROR(VLOOKUP(A236,Biogasanlæg!$F$3:$G$8,2,FALSE),1)</f>
        <v>0.63285877791235357</v>
      </c>
      <c r="T236" s="193">
        <f t="shared" si="64"/>
        <v>1.0358576539199069</v>
      </c>
      <c r="U236" s="191">
        <f>O236*IFERROR(VLOOKUP(A236,[1]Tørstofindhold!A$2:B$24,2,FALSE),0)</f>
        <v>124549.52653292398</v>
      </c>
      <c r="V236" s="192">
        <f>IF(D236=År1,P236,SUM(O236,P236))*IFERROR(VLOOKUP(A236,[1]Tørstofindhold!A$2:B$24,2,FALSE),0)</f>
        <v>200643.245445854</v>
      </c>
      <c r="W236" s="192">
        <f>J236*IFERROR(VLOOKUP(A236,[1]Tørstofindhold!A$2:B$24,2,FALSE),0)</f>
        <v>76093.71891293001</v>
      </c>
      <c r="X236" s="193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2184299.8380428459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1157678.9141627084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2">
        <f>IFERROR(VLOOKUP(A237,[1]Biogasudbytte!$A$2:$B$18,2,FALSE)*[1]Energiindhold!$C$10,0)*J237*IFERROR(VLOOKUP(A237,Biogasanlæg!$F$3:$G$8,2,FALSE),1)</f>
        <v>0.49872807622129489</v>
      </c>
      <c r="T237" s="193">
        <f t="shared" si="64"/>
        <v>0</v>
      </c>
      <c r="U237" s="191">
        <f>O237*IFERROR(VLOOKUP(A237,[1]Tørstofindhold!A$2:B$24,2,FALSE),0)</f>
        <v>0</v>
      </c>
      <c r="V237" s="192">
        <f>IF(D237=År1,P237,SUM(O237,P237))*IFERROR(VLOOKUP(A237,[1]Tørstofindhold!A$2:B$24,2,FALSE),0)</f>
        <v>57883.945708135427</v>
      </c>
      <c r="W237" s="192">
        <f>J237*IFERROR(VLOOKUP(A237,[1]Tørstofindhold!A$2:B$24,2,FALSE),0)</f>
        <v>57883.945708135427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199670.11202830033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94143.6721787524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O239*IFERROR(VLOOKUP(A239,[1]Tørstofindhold!A$2:B$24,2,FALSE),0)</f>
        <v>540</v>
      </c>
      <c r="V239" s="192">
        <f>IF(D239=År1,P239,SUM(O239,P239))*IFERROR(VLOOKUP(A239,[1]Tørstofindhold!A$2:B$24,2,FALSE),0)</f>
        <v>540</v>
      </c>
      <c r="W239" s="192">
        <f>J239*IFERROR(VLOOKUP(A239,[1]Tørstofindhold!A$2:B$24,2,FALSE),0)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hidden="1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645037.98201828008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645037.98201828008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9.3489024359990136</v>
      </c>
      <c r="U241" s="191">
        <f>O241*IFERROR(VLOOKUP(A241,[1]Tørstofindhold!A$2:B$24,2,FALSE),0)</f>
        <v>0</v>
      </c>
      <c r="V241" s="192">
        <f>IF(D241=År1,P241,SUM(O241,P241))*IFERROR(VLOOKUP(A241,[1]Tørstofindhold!A$2:B$24,2,FALSE),0)</f>
        <v>319025.0352732077</v>
      </c>
      <c r="W241" s="192">
        <f>J241*IFERROR(VLOOKUP(A241,[1]Tørstofindhold!A$2:B$24,2,FALSE),0)</f>
        <v>0</v>
      </c>
      <c r="X241" s="193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hidden="1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177359.22120275494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177359.22120275494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hidden="1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-12055.902429201011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27846.800257878294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19930.183504138196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4">
        <f t="shared" ca="1" si="62"/>
        <v>-8.6147268739296123E-2</v>
      </c>
      <c r="O245" s="195">
        <f t="shared" ca="1" si="59"/>
        <v>0</v>
      </c>
      <c r="P245" s="205">
        <f t="shared" ca="1" si="63"/>
        <v>172292.76645701908</v>
      </c>
      <c r="Q245" s="192">
        <f ca="1">IFERROR(VLOOKUP(A245,[1]Energiindhold!$A$2:$C$11,3,FALSE),IFERROR(VLOOKUP(A245,[1]Biogasudbytte!$A$2:$B$18,2,FALSE)*[1]Energiindhold!$C$10,0))*O245</f>
        <v>0</v>
      </c>
      <c r="R245" s="192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2">
        <f ca="1">IFERROR(VLOOKUP(A245,[1]Biogasudbytte!$A$2:$B$18,2,FALSE)*[1]Energiindhold!$C$10,0)*J245*IFERROR(VLOOKUP(A245,Biogasanlæg!$F$3:$G$8,2,FALSE),1)</f>
        <v>0.58698594897008305</v>
      </c>
      <c r="T245" s="193">
        <f t="shared" ca="1" si="64"/>
        <v>0</v>
      </c>
      <c r="U245" s="191">
        <f ca="1">O245*IFERROR(VLOOKUP(A245,[1]Tørstofindhold!A$2:B$24,2,FALSE),0)</f>
        <v>0</v>
      </c>
      <c r="V245" s="192">
        <f ca="1">IF(D245=År1,P245,SUM(O245,P245))*IFERROR(VLOOKUP(A245,[1]Tørstofindhold!A$2:B$24,2,FALSE),0)</f>
        <v>48241.974607965349</v>
      </c>
      <c r="W245" s="192">
        <f ca="1">J245*IFERROR(VLOOKUP(A245,[1]Tørstofindhold!A$2:B$24,2,FALSE),0)</f>
        <v>48241.974607965349</v>
      </c>
      <c r="X245" s="193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109846697.94483337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ca="1" si="62"/>
        <v>0</v>
      </c>
      <c r="O246" s="195">
        <f t="shared" ca="1" si="59"/>
        <v>0</v>
      </c>
      <c r="P246" s="205">
        <f t="shared" ca="1" si="63"/>
        <v>109846697.94483337</v>
      </c>
      <c r="Q246" s="192">
        <f ca="1"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 ca="1">O246*IFERROR(VLOOKUP(A246,[1]Tørstofindhold!A$2:B$24,2,FALSE),0)</f>
        <v>0</v>
      </c>
      <c r="V246" s="192">
        <f ca="1"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hidden="1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3485476.5557184103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>
        <f t="shared" ca="1" si="62"/>
        <v>457564.1294385111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hidden="1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O248*IFERROR(VLOOKUP(A248,[1]Tørstofindhold!A$2:B$24,2,FALSE),0)</f>
        <v>0</v>
      </c>
      <c r="V248" s="192">
        <f>IF(D248=År1,P248,SUM(O248,P248))*IFERROR(VLOOKUP(A248,[1]Tørstofindhold!A$2:B$24,2,FALSE),0)</f>
        <v>0</v>
      </c>
      <c r="W248" s="192">
        <f>J248*IFERROR(VLOOKUP(A248,[1]Tørstofindhold!A$2:B$24,2,FALSE),0)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hidden="1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377058.10701599991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117157.3403942571</v>
      </c>
      <c r="O249" s="195">
        <f t="shared" si="59"/>
        <v>117157.3403942571</v>
      </c>
      <c r="P249" s="205">
        <f t="shared" si="63"/>
        <v>188529.05350799995</v>
      </c>
      <c r="Q249" s="192">
        <f>IFERROR(VLOOKUP(A249,[1]Energiindhold!$A$2:$C$11,3,FALSE),IFERROR(VLOOKUP(A249,[1]Biogasudbytte!$A$2:$B$18,2,FALSE)*[1]Energiindhold!$C$10,0))*O249</f>
        <v>0.25235691120922982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2">
        <f>IFERROR(VLOOKUP(A249,[1]Biogasudbytte!$A$2:$B$18,2,FALSE)*[1]Energiindhold!$C$10,0)*J249*IFERROR(VLOOKUP(A249,Biogasanlæg!$F$3:$G$8,2,FALSE),1)</f>
        <v>0.4060915812562319</v>
      </c>
      <c r="T249" s="193">
        <f t="shared" si="64"/>
        <v>0.25235691120922976</v>
      </c>
      <c r="U249" s="191">
        <f>O249*IFERROR(VLOOKUP(A249,[1]Tørstofindhold!A$2:B$24,2,FALSE),0)</f>
        <v>35147.202118277128</v>
      </c>
      <c r="V249" s="192">
        <f>IF(D249=År1,P249,SUM(O249,P249))*IFERROR(VLOOKUP(A249,[1]Tørstofindhold!A$2:B$24,2,FALSE),0)</f>
        <v>91705.91817067712</v>
      </c>
      <c r="W249" s="192">
        <f>J249*IFERROR(VLOOKUP(A249,[1]Tørstofindhold!A$2:B$24,2,FALSE),0)</f>
        <v>56558.716052399985</v>
      </c>
      <c r="X249" s="193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hidden="1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hidden="1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273.74439328952366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87.804805394752975</v>
      </c>
      <c r="O251" s="195">
        <f t="shared" si="59"/>
        <v>87.804805394752975</v>
      </c>
      <c r="P251" s="205">
        <f t="shared" si="63"/>
        <v>361.54919868427658</v>
      </c>
      <c r="Q251" s="192">
        <f>IFERROR(VLOOKUP(A251,[1]Energiindhold!$A$2:$C$11,3,FALSE),IFERROR(VLOOKUP(A251,[1]Biogasudbytte!$A$2:$B$18,2,FALSE)*[1]Energiindhold!$C$10,0))*O251</f>
        <v>4.1293721929098376E-5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2.1132669457832681E-4</v>
      </c>
      <c r="S251" s="192">
        <f>IFERROR(VLOOKUP(A251,[1]Biogasudbytte!$A$2:$B$18,2,FALSE)*[1]Energiindhold!$C$10,0)*J251*IFERROR(VLOOKUP(A251,Biogasanlæg!$F$3:$G$8,2,FALSE),1)</f>
        <v>1.7003297264922844E-4</v>
      </c>
      <c r="T251" s="193">
        <f t="shared" si="64"/>
        <v>4.1293721929098369E-5</v>
      </c>
      <c r="U251" s="191">
        <f>O251*IFERROR(VLOOKUP(A251,[1]Tørstofindhold!A$2:B$24,2,FALSE),0)</f>
        <v>5.5317027398694378</v>
      </c>
      <c r="V251" s="192">
        <f>IF(D251=År1,P251,SUM(O251,P251))*IFERROR(VLOOKUP(A251,[1]Tørstofindhold!A$2:B$24,2,FALSE),0)</f>
        <v>28.30930225697886</v>
      </c>
      <c r="W251" s="192">
        <f>J251*IFERROR(VLOOKUP(A251,[1]Tørstofindhold!A$2:B$24,2,FALSE),0)</f>
        <v>22.777599517109426</v>
      </c>
      <c r="X251" s="193">
        <f t="shared" si="65"/>
        <v>5.5317027398694343</v>
      </c>
      <c r="Y251" s="171">
        <f t="shared" si="60"/>
        <v>0</v>
      </c>
      <c r="Z251" s="103">
        <f t="shared" si="61"/>
        <v>1</v>
      </c>
    </row>
    <row r="252" spans="1:26" hidden="1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-17417.887295631779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629229.83697533351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629229.83697533351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16274.021455837808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-217520.99453663599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2163650.2851152783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651432.26278210618</v>
      </c>
      <c r="O256" s="195">
        <f t="shared" si="59"/>
        <v>651432.26278210618</v>
      </c>
      <c r="P256" s="205">
        <f t="shared" si="63"/>
        <v>10149.946321457959</v>
      </c>
      <c r="Q256" s="192">
        <f>IFERROR(VLOOKUP(A256,[1]Energiindhold!$A$2:$C$11,3,FALSE),IFERROR(VLOOKUP(A256,[1]Biogasudbytte!$A$2:$B$18,2,FALSE)*[1]Energiindhold!$C$10,0))*O256</f>
        <v>1.1985539344862277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1.2172285669744203</v>
      </c>
      <c r="S256" s="192">
        <f>IFERROR(VLOOKUP(A256,[1]Biogasudbytte!$A$2:$B$18,2,FALSE)*[1]Energiindhold!$C$10,0)*J256*IFERROR(VLOOKUP(A256,Biogasanlæg!$F$3:$G$8,2,FALSE),1)</f>
        <v>1.8674632488192462E-2</v>
      </c>
      <c r="T256" s="193">
        <f t="shared" si="64"/>
        <v>1.1985539344862277</v>
      </c>
      <c r="U256" s="191">
        <f>O256*IFERROR(VLOOKUP(A256,[1]Tørstofindhold!A$2:B$24,2,FALSE),0)</f>
        <v>182401.03357898974</v>
      </c>
      <c r="V256" s="192">
        <f>IF(D256=År1,P256,SUM(O256,P256))*IFERROR(VLOOKUP(A256,[1]Tørstofindhold!A$2:B$24,2,FALSE),0)</f>
        <v>185243.01854899799</v>
      </c>
      <c r="W256" s="192">
        <f>J256*IFERROR(VLOOKUP(A256,[1]Tørstofindhold!A$2:B$24,2,FALSE),0)</f>
        <v>2841.9849700082286</v>
      </c>
      <c r="X256" s="193">
        <f t="shared" si="65"/>
        <v>182401.03357898977</v>
      </c>
      <c r="Y256" s="171">
        <f t="shared" si="60"/>
        <v>0</v>
      </c>
      <c r="Z256" s="103">
        <f t="shared" si="61"/>
        <v>1</v>
      </c>
    </row>
    <row r="257" spans="1:26" hidden="1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98333.203509519633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-146536.3132404924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hidden="1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917722.26759868616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103062.42440743271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719770.39515684091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92">
        <f>IFERROR(VLOOKUP(A259,[1]Biogasudbytte!$A$2:$B$18,2,FALSE)*[1]Energiindhold!$C$10,0)*J259*IFERROR(VLOOKUP(A259,Biogasanlæg!$F$3:$G$8,2,FALSE),1)</f>
        <v>0.13485651428191106</v>
      </c>
      <c r="T259" s="193">
        <f t="shared" si="64"/>
        <v>7.1976519459865562</v>
      </c>
      <c r="U259" s="191">
        <f>O259*IFERROR(VLOOKUP(A259,[1]Tørstofindhold!A$2:B$24,2,FALSE),0)</f>
        <v>0</v>
      </c>
      <c r="V259" s="192">
        <f>IF(D259=År1,P259,SUM(O259,P259))*IFERROR(VLOOKUP(A259,[1]Tørstofindhold!A$2:B$24,2,FALSE),0)</f>
        <v>611804.83588331472</v>
      </c>
      <c r="W259" s="192">
        <f>J259*IFERROR(VLOOKUP(A259,[1]Tørstofindhold!A$2:B$24,2,FALSE),0)</f>
        <v>19881.578679468774</v>
      </c>
      <c r="X259" s="193">
        <f t="shared" si="65"/>
        <v>591923.25720384601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O260*IFERROR(VLOOKUP(A260,[1]Tørstofindhold!A$2:B$24,2,FALSE),0)</f>
        <v>0</v>
      </c>
      <c r="V260" s="192">
        <f>IF(D260=År1,P260,SUM(O260,P260))*IFERROR(VLOOKUP(A260,[1]Tørstofindhold!A$2:B$24,2,FALSE),0)</f>
        <v>137378.10748818054</v>
      </c>
      <c r="W260" s="192">
        <f>J260*IFERROR(VLOOKUP(A260,[1]Tørstofindhold!A$2:B$24,2,FALSE),0)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hidden="1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-592646.72642582108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hidden="1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203334.81459864558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-3.2320689118932933E-2</v>
      </c>
      <c r="O262" s="195">
        <f t="shared" si="75"/>
        <v>0</v>
      </c>
      <c r="P262" s="205">
        <f t="shared" si="63"/>
        <v>203334.8469193347</v>
      </c>
      <c r="Q262" s="192">
        <f>IFERROR(VLOOKUP(A262,[1]Energiindhold!$A$2:$C$11,3,FALSE),IFERROR(VLOOKUP(A262,[1]Biogasudbytte!$A$2:$B$18,2,FALSE)*[1]Energiindhold!$C$10,0))*O262</f>
        <v>0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92">
        <f>IFERROR(VLOOKUP(A262,[1]Biogasudbytte!$A$2:$B$18,2,FALSE)*[1]Energiindhold!$C$10,0)*J262*IFERROR(VLOOKUP(A262,Biogasanlæg!$F$3:$G$8,2,FALSE),1)</f>
        <v>0.74891487644684029</v>
      </c>
      <c r="T262" s="193">
        <f t="shared" si="64"/>
        <v>0</v>
      </c>
      <c r="U262" s="191">
        <f>O262*IFERROR(VLOOKUP(A262,[1]Tørstofindhold!A$2:B$24,2,FALSE),0)</f>
        <v>0</v>
      </c>
      <c r="V262" s="192">
        <f>IF(D262=År1,P262,SUM(O262,P262))*IFERROR(VLOOKUP(A262,[1]Tørstofindhold!A$2:B$24,2,FALSE),0)</f>
        <v>85400.635706120564</v>
      </c>
      <c r="W262" s="192">
        <f>J262*IFERROR(VLOOKUP(A262,[1]Tørstofindhold!A$2:B$24,2,FALSE),0)</f>
        <v>85400.635706120564</v>
      </c>
      <c r="X262" s="193">
        <f t="shared" si="65"/>
        <v>0</v>
      </c>
      <c r="Y262" s="171">
        <f t="shared" si="76"/>
        <v>1</v>
      </c>
      <c r="Z262" s="103">
        <f t="shared" si="77"/>
        <v>0</v>
      </c>
    </row>
    <row r="263" spans="1:26" hidden="1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150184.32869116802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150184.32869116802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119824.59197839584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7849.0843188425933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2360239.3885877775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1369408.5185547189</v>
      </c>
      <c r="O265" s="195">
        <f t="shared" si="75"/>
        <v>1369408.5185547189</v>
      </c>
      <c r="P265" s="205">
        <f t="shared" si="63"/>
        <v>960.24397829585632</v>
      </c>
      <c r="Q265" s="192">
        <f>IFERROR(VLOOKUP(A265,[1]Energiindhold!$A$2:$C$11,3,FALSE),IFERROR(VLOOKUP(A265,[1]Biogasudbytte!$A$2:$B$18,2,FALSE)*[1]Energiindhold!$C$10,0))*O265</f>
        <v>4.6900324588573152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4.6933211600488214</v>
      </c>
      <c r="S265" s="192">
        <f>IFERROR(VLOOKUP(A265,[1]Biogasudbytte!$A$2:$B$18,2,FALSE)*[1]Energiindhold!$C$10,0)*J265*IFERROR(VLOOKUP(A265,Biogasanlæg!$F$3:$G$8,2,FALSE),1)</f>
        <v>3.288701191506347E-3</v>
      </c>
      <c r="T265" s="193">
        <f t="shared" si="64"/>
        <v>4.6900324588573152</v>
      </c>
      <c r="U265" s="191">
        <f>O265*IFERROR(VLOOKUP(A265,[1]Tørstofindhold!A$2:B$24,2,FALSE),0)</f>
        <v>424516.64075196284</v>
      </c>
      <c r="V265" s="192">
        <f>IF(D265=År1,P265,SUM(O265,P265))*IFERROR(VLOOKUP(A265,[1]Tørstofindhold!A$2:B$24,2,FALSE),0)</f>
        <v>424814.31638523459</v>
      </c>
      <c r="W265" s="192">
        <f>J265*IFERROR(VLOOKUP(A265,[1]Tørstofindhold!A$2:B$24,2,FALSE),0)</f>
        <v>297.67563327171547</v>
      </c>
      <c r="X265" s="193">
        <f t="shared" si="65"/>
        <v>424516.6407519629</v>
      </c>
      <c r="Y265" s="171">
        <f t="shared" si="76"/>
        <v>0</v>
      </c>
      <c r="Z265" s="103">
        <f t="shared" si="77"/>
        <v>1</v>
      </c>
    </row>
    <row r="266" spans="1:26" hidden="1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362262.716942953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>
        <f t="shared" ca="1" si="62"/>
        <v>-362262.716942953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hidden="1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905156.40673249087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143919.86867046604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73317.668945331825</v>
      </c>
      <c r="O267" s="195">
        <f t="shared" si="75"/>
        <v>73317.668945331825</v>
      </c>
      <c r="P267" s="205">
        <f t="shared" si="63"/>
        <v>687918.86911669304</v>
      </c>
      <c r="Q267" s="192">
        <f>IFERROR(VLOOKUP(A267,[1]Energiindhold!$A$2:$C$11,3,FALSE),IFERROR(VLOOKUP(A267,[1]Biogasudbytte!$A$2:$B$18,2,FALSE)*[1]Energiindhold!$C$10,0))*O267</f>
        <v>3.7112670843437522E-2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0.38533032320161636</v>
      </c>
      <c r="S267" s="192">
        <f>IFERROR(VLOOKUP(A267,[1]Biogasudbytte!$A$2:$B$18,2,FALSE)*[1]Energiindhold!$C$10,0)*J267*IFERROR(VLOOKUP(A267,Biogasanlæg!$F$3:$G$8,2,FALSE),1)</f>
        <v>0.34821765235817886</v>
      </c>
      <c r="T267" s="193">
        <f t="shared" si="64"/>
        <v>3.7112670843437501E-2</v>
      </c>
      <c r="U267" s="191">
        <f>O267*IFERROR(VLOOKUP(A267,[1]Tørstofindhold!A$2:B$24,2,FALSE),0)</f>
        <v>5572.142839845219</v>
      </c>
      <c r="V267" s="192">
        <f>IF(D267=År1,P267,SUM(O267,P267))*IFERROR(VLOOKUP(A267,[1]Tørstofindhold!A$2:B$24,2,FALSE),0)</f>
        <v>57853.976892713887</v>
      </c>
      <c r="W267" s="192">
        <f>J267*IFERROR(VLOOKUP(A267,[1]Tørstofindhold!A$2:B$24,2,FALSE),0)</f>
        <v>52281.834052868668</v>
      </c>
      <c r="X267" s="193">
        <f t="shared" si="65"/>
        <v>5572.142839845219</v>
      </c>
      <c r="Y267" s="171">
        <f t="shared" si="76"/>
        <v>0</v>
      </c>
      <c r="Z267" s="103">
        <f t="shared" si="77"/>
        <v>1</v>
      </c>
    </row>
    <row r="268" spans="1:26" hidden="1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113070.46736338305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-72970.026349509179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hidden="1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383747.87380717852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-326106.26272263989</v>
      </c>
      <c r="O269" s="195">
        <f t="shared" si="75"/>
        <v>0</v>
      </c>
      <c r="P269" s="205">
        <f t="shared" si="63"/>
        <v>15500.875420530891</v>
      </c>
      <c r="Q269" s="192">
        <f>IFERROR(VLOOKUP(A269,[1]Energiindhold!$A$2:$C$11,3,FALSE),IFERROR(VLOOKUP(A269,[1]Biogasudbytte!$A$2:$B$18,2,FALSE)*[1]Energiindhold!$C$10,0))*O269</f>
        <v>0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2">
        <f>IFERROR(VLOOKUP(A269,[1]Biogasudbytte!$A$2:$B$18,2,FALSE)*[1]Energiindhold!$C$10,0)*J269*IFERROR(VLOOKUP(A269,Biogasanlæg!$F$3:$G$8,2,FALSE),1)</f>
        <v>5.56481427597059E-2</v>
      </c>
      <c r="T269" s="193">
        <f t="shared" si="64"/>
        <v>0</v>
      </c>
      <c r="U269" s="191">
        <f>O269*IFERROR(VLOOKUP(A269,[1]Tørstofindhold!A$2:B$24,2,FALSE),0)</f>
        <v>0</v>
      </c>
      <c r="V269" s="192">
        <f>IF(D269=År1,P269,SUM(O269,P269))*IFERROR(VLOOKUP(A269,[1]Tørstofindhold!A$2:B$24,2,FALSE),0)</f>
        <v>4650.2626261592668</v>
      </c>
      <c r="W269" s="192">
        <f>J269*IFERROR(VLOOKUP(A269,[1]Tørstofindhold!A$2:B$24,2,FALSE),0)</f>
        <v>4650.2626261592668</v>
      </c>
      <c r="X269" s="193">
        <f t="shared" si="65"/>
        <v>0</v>
      </c>
      <c r="Y269" s="171">
        <f t="shared" si="76"/>
        <v>0</v>
      </c>
      <c r="Z269" s="103">
        <f t="shared" si="77"/>
        <v>1</v>
      </c>
    </row>
    <row r="270" spans="1:26" hidden="1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218167.31964379738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-210046.70964768095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O271*IFERROR(VLOOKUP(A271,[1]Tørstofindhold!A$2:B$24,2,FALSE),0)</f>
        <v>7297.504150601043</v>
      </c>
      <c r="V271" s="192">
        <f>IF(D271=År1,P271,SUM(O271,P271))*IFERROR(VLOOKUP(A271,[1]Tørstofindhold!A$2:B$24,2,FALSE),0)</f>
        <v>7297.504150601043</v>
      </c>
      <c r="W271" s="192">
        <f>J271*IFERROR(VLOOKUP(A271,[1]Tørstofindhold!A$2:B$24,2,FALSE),0)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7305.5635465813803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-47107.150175456467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hidden="1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407823.31273083866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407823.31273083866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38470.033999756291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38470.033999756291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0.70784862559551565</v>
      </c>
      <c r="U274" s="191">
        <f>O274*IFERROR(VLOOKUP(A274,[1]Tørstofindhold!A$2:B$24,2,FALSE),0)</f>
        <v>0</v>
      </c>
      <c r="V274" s="192">
        <f>IF(D274=År1,P274,SUM(O274,P274))*IFERROR(VLOOKUP(A274,[1]Tørstofindhold!A$2:B$24,2,FALSE),0)</f>
        <v>15965.064109898862</v>
      </c>
      <c r="W274" s="192">
        <f>J274*IFERROR(VLOOKUP(A274,[1]Tørstofindhold!A$2:B$24,2,FALSE),0)</f>
        <v>0</v>
      </c>
      <c r="X274" s="193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hidden="1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O275*IFERROR(VLOOKUP(A275,[1]Tørstofindhold!A$2:B$24,2,FALSE),0)</f>
        <v>0</v>
      </c>
      <c r="V275" s="192">
        <f>IF(D275=År1,P275,SUM(O275,P275))*IFERROR(VLOOKUP(A275,[1]Tørstofindhold!A$2:B$24,2,FALSE),0)</f>
        <v>0</v>
      </c>
      <c r="W275" s="192">
        <f>J275*IFERROR(VLOOKUP(A275,[1]Tørstofindhold!A$2:B$24,2,FALSE),0)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O276*IFERROR(VLOOKUP(A276,[1]Tørstofindhold!A$2:B$24,2,FALSE),0)</f>
        <v>0</v>
      </c>
      <c r="V276" s="192">
        <f>IF(D276=År1,P276,SUM(O276,P276))*IFERROR(VLOOKUP(A276,[1]Tørstofindhold!A$2:B$24,2,FALSE),0)</f>
        <v>0</v>
      </c>
      <c r="W276" s="192">
        <f>J276*IFERROR(VLOOKUP(A276,[1]Tørstofindhold!A$2:B$24,2,FALSE),0)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339731.06359710812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339731.06359710812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199163.17844104863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99581.589220524314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73302.819718525949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63732.21710113556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63732.21710113556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2.2306275985397446</v>
      </c>
      <c r="U280" s="191">
        <f>O280*IFERROR(VLOOKUP(A280,[1]Tørstofindhold!A$2:B$24,2,FALSE),0)</f>
        <v>0</v>
      </c>
      <c r="V280" s="192">
        <f>IF(D280=År1,P280,SUM(O280,P280))*IFERROR(VLOOKUP(A280,[1]Tørstofindhold!A$2:B$24,2,FALSE),0)</f>
        <v>0</v>
      </c>
      <c r="W280" s="192">
        <f>J280*IFERROR(VLOOKUP(A280,[1]Tørstofindhold!A$2:B$24,2,FALSE),0)</f>
        <v>0</v>
      </c>
      <c r="X280" s="193">
        <f t="shared" si="65"/>
        <v>0</v>
      </c>
      <c r="Y280" s="171">
        <f t="shared" si="90"/>
        <v>0</v>
      </c>
      <c r="Z280" s="103">
        <f t="shared" si="91"/>
        <v>0</v>
      </c>
    </row>
    <row r="281" spans="1:26" hidden="1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2322627.8500566902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2194771.0440022922</v>
      </c>
      <c r="O281" s="195">
        <f t="shared" si="89"/>
        <v>1730280.0978252576</v>
      </c>
      <c r="P281" s="205">
        <f t="shared" si="63"/>
        <v>24610.929224370728</v>
      </c>
      <c r="Q281" s="192">
        <f>IFERROR(VLOOKUP(A281,[1]Energiindhold!$A$2:$C$11,3,FALSE),IFERROR(VLOOKUP(A281,[1]Biogasudbytte!$A$2:$B$18,2,FALSE)*[1]Energiindhold!$C$10,0))*O281</f>
        <v>4.6960493967016621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4.7628444430537735</v>
      </c>
      <c r="S281" s="192">
        <f>IFERROR(VLOOKUP(A281,[1]Biogasudbytte!$A$2:$B$18,2,FALSE)*[1]Energiindhold!$C$10,0)*J281*IFERROR(VLOOKUP(A281,Biogasanlæg!$F$3:$G$8,2,FALSE),1)</f>
        <v>6.6795046352111129E-2</v>
      </c>
      <c r="T281" s="193">
        <f t="shared" si="64"/>
        <v>4.6960493967016621</v>
      </c>
      <c r="U281" s="191">
        <f>O281*IFERROR(VLOOKUP(A281,[1]Tørstofindhold!A$2:B$24,2,FALSE),0)</f>
        <v>346056.01956505154</v>
      </c>
      <c r="V281" s="192">
        <f>IF(D281=År1,P281,SUM(O281,P281))*IFERROR(VLOOKUP(A281,[1]Tørstofindhold!A$2:B$24,2,FALSE),0)</f>
        <v>350978.20540992566</v>
      </c>
      <c r="W281" s="192">
        <f>J281*IFERROR(VLOOKUP(A281,[1]Tørstofindhold!A$2:B$24,2,FALSE),0)</f>
        <v>4922.1858448741459</v>
      </c>
      <c r="X281" s="193">
        <f t="shared" si="65"/>
        <v>346056.01956505154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21894.979482137918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21894.979482137918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17785.773783011035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12947.841322392087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3500281.4918378997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2172803.782014261</v>
      </c>
      <c r="O284" s="195">
        <f t="shared" si="89"/>
        <v>2172803.782014261</v>
      </c>
      <c r="P284" s="205">
        <f t="shared" si="94"/>
        <v>1327477.7098236387</v>
      </c>
      <c r="Q284" s="192">
        <f>IFERROR(VLOOKUP(A284,[1]Energiindhold!$A$2:$C$11,3,FALSE),IFERROR(VLOOKUP(A284,[1]Biogasudbytte!$A$2:$B$18,2,FALSE)*[1]Energiindhold!$C$10,0))*O284</f>
        <v>1.0842508152629364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2">
        <f>IFERROR(VLOOKUP(A284,[1]Biogasudbytte!$A$2:$B$18,2,FALSE)*[1]Energiindhold!$C$10,0)*J284*IFERROR(VLOOKUP(A284,Biogasanlæg!$F$3:$G$8,2,FALSE),1)</f>
        <v>0.66242465197909406</v>
      </c>
      <c r="T284" s="193">
        <f t="shared" si="95"/>
        <v>1.0842508152629367</v>
      </c>
      <c r="U284" s="191">
        <f>O284*IFERROR(VLOOKUP(A284,[1]Tørstofindhold!A$2:B$24,2,FALSE),0)</f>
        <v>130368.22692085565</v>
      </c>
      <c r="V284" s="192">
        <f>IF(D284=År1,P284,SUM(O284,P284))*IFERROR(VLOOKUP(A284,[1]Tørstofindhold!A$2:B$24,2,FALSE),0)</f>
        <v>210016.88951027396</v>
      </c>
      <c r="W284" s="192">
        <f>J284*IFERROR(VLOOKUP(A284,[1]Tørstofindhold!A$2:B$24,2,FALSE),0)</f>
        <v>79648.662589418323</v>
      </c>
      <c r="X284" s="193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2091197.4416372697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1108334.6440677529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92">
        <f>IFERROR(VLOOKUP(A285,[1]Biogasudbytte!$A$2:$B$18,2,FALSE)*[1]Energiindhold!$C$10,0)*J285*IFERROR(VLOOKUP(A285,Biogasanlæg!$F$3:$G$8,2,FALSE),1)</f>
        <v>0.47747056466438803</v>
      </c>
      <c r="T285" s="193">
        <f t="shared" si="95"/>
        <v>0</v>
      </c>
      <c r="U285" s="191">
        <f>O285*IFERROR(VLOOKUP(A285,[1]Tørstofindhold!A$2:B$24,2,FALSE),0)</f>
        <v>0</v>
      </c>
      <c r="V285" s="192">
        <f>IF(D285=År1,P285,SUM(O285,P285))*IFERROR(VLOOKUP(A285,[1]Tørstofindhold!A$2:B$24,2,FALSE),0)</f>
        <v>55416.732203387648</v>
      </c>
      <c r="W285" s="192">
        <f>J285*IFERROR(VLOOKUP(A285,[1]Tørstofindhold!A$2:B$24,2,FALSE),0)</f>
        <v>55416.732203387648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194183.99559105173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83709.698034187008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O287*IFERROR(VLOOKUP(A287,[1]Tørstofindhold!A$2:B$24,2,FALSE),0)</f>
        <v>675</v>
      </c>
      <c r="V287" s="192">
        <f>IF(D287=År1,P287,SUM(O287,P287))*IFERROR(VLOOKUP(A287,[1]Tørstofindhold!A$2:B$24,2,FALSE),0)</f>
        <v>675</v>
      </c>
      <c r="W287" s="192">
        <f>J287*IFERROR(VLOOKUP(A287,[1]Tørstofindhold!A$2:B$24,2,FALSE),0)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hidden="1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hidden="1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585110.82295504375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585110.82295504375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585110.82295504375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8.4803440270882753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8.4803440270882753</v>
      </c>
      <c r="U289" s="191">
        <f>O289*IFERROR(VLOOKUP(A289,[1]Tørstofindhold!A$2:B$24,2,FALSE),0)</f>
        <v>0</v>
      </c>
      <c r="V289" s="192">
        <f>IF(D289=År1,P289,SUM(O289,P289))*IFERROR(VLOOKUP(A289,[1]Tørstofindhold!A$2:B$24,2,FALSE),0)</f>
        <v>289386.06118651538</v>
      </c>
      <c r="W289" s="192">
        <f>J289*IFERROR(VLOOKUP(A289,[1]Tørstofindhold!A$2:B$24,2,FALSE),0)</f>
        <v>0</v>
      </c>
      <c r="X289" s="193">
        <f t="shared" si="96"/>
        <v>289386.06118651538</v>
      </c>
      <c r="Y289" s="171">
        <f t="shared" si="90"/>
        <v>0</v>
      </c>
      <c r="Z289" s="103">
        <f t="shared" si="91"/>
        <v>0</v>
      </c>
    </row>
    <row r="290" spans="1:26" ht="15.75" hidden="1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161179.02528703219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161179.02528703219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>
    <filterColumn colId="0">
      <filters>
        <filter val="Raps"/>
        <filter val="Rapskage"/>
        <filter val="Rapsolie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2" t="s">
        <v>23</v>
      </c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8" t="s">
        <v>7</v>
      </c>
      <c r="D3" s="369"/>
      <c r="E3" s="369"/>
      <c r="F3" s="369"/>
      <c r="G3" s="369"/>
      <c r="H3" s="369"/>
      <c r="I3" s="369"/>
      <c r="J3" s="369"/>
      <c r="K3" s="370"/>
      <c r="L3" s="368" t="s">
        <v>8</v>
      </c>
      <c r="M3" s="369"/>
      <c r="N3" s="369"/>
      <c r="O3" s="369"/>
      <c r="P3" s="369"/>
      <c r="Q3" s="369"/>
      <c r="R3" s="369"/>
      <c r="S3" s="369"/>
      <c r="T3" s="370"/>
      <c r="U3" s="71"/>
      <c r="W3" s="31" t="s">
        <v>282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IF(Landbrug!$E$47&gt;0,SUMIF(Landbrug!$B$32:$B$45,$B6,IF(I4=År2,Landbrug!$D$32:$D$45,Landbrug!$E$32:$E$45)),'[1]Afgrødefordeling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IF(Landbrug!$E$47&gt;0,SUMIF(Landbrug!$B$32:$B$45,$B6,IF(I4=År2,Landbrug!$D$32:$D$45,Landbrug!$E$32:$E$45)),'[1]Afgrødefordeling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285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IF(Landbrug!$E$47&gt;0,SUMIF(Landbrug!$B$32:$B$45,$B7,IF(I5=År2,Landbrug!$D$32:$D$45,Landbrug!$E$32:$E$45)),'[1]Afgrødefordeling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IF(Landbrug!$E$47&gt;0,SUMIF(Landbrug!$B$32:$B$45,$B7,IF(I5=År2,Landbrug!$D$32:$D$45,Landbrug!$E$32:$E$45)),'[1]Afgrødefordeling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286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IF(Landbrug!$E$47&gt;0,SUMIF(Landbrug!$B$32:$B$45,$B8,IF(I6=År2,Landbrug!$D$32:$D$45,Landbrug!$E$32:$E$45)),'[1]Afgrødefordeling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IF(Landbrug!$E$47&gt;0,SUMIF(Landbrug!$B$32:$B$45,$B8,IF(I6=År2,Landbrug!$D$32:$D$45,Landbrug!$E$32:$E$45)),'[1]Afgrødefordeling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287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IF(Landbrug!$E$47&gt;0,SUMIF(Landbrug!$B$32:$B$45,$B9,IF(I7=År2,Landbrug!$D$32:$D$45,Landbrug!$E$32:$E$45)),'[1]Afgrødefordeling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IF(Landbrug!$E$47&gt;0,SUMIF(Landbrug!$B$32:$B$45,$B9,IF(I7=År2,Landbrug!$D$32:$D$45,Landbrug!$E$32:$E$45)),'[1]Afgrødefordeling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IF(Landbrug!$E$47&gt;0,SUMIF(Landbrug!$B$32:$B$45,$B10,IF(I8=År2,Landbrug!$D$32:$D$45,Landbrug!$E$32:$E$45)),'[1]Afgrødefordeling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IF(Landbrug!$E$47&gt;0,SUMIF(Landbrug!$B$32:$B$45,$B10,IF(I8=År2,Landbrug!$D$32:$D$45,Landbrug!$E$32:$E$45)),'[1]Afgrødefordeling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IF(Landbrug!$E$47&gt;0,SUMIF(Landbrug!$B$32:$B$45,$B11,IF(I9=År2,Landbrug!$D$32:$D$45,Landbrug!$E$32:$E$45)),'[1]Afgrødefordeling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IF(Landbrug!$E$47&gt;0,SUMIF(Landbrug!$B$32:$B$45,$B11,IF(I9=År2,Landbrug!$D$32:$D$45,Landbrug!$E$32:$E$45)),'[1]Afgrødefordeling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IF(Landbrug!$E$47&gt;0,SUMIF(Landbrug!$B$32:$B$45,$B12,IF(I10=År2,Landbrug!$D$32:$D$45,Landbrug!$E$32:$E$45)),'[1]Afgrødefordeling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IF(Landbrug!$E$47&gt;0,SUMIF(Landbrug!$B$32:$B$45,$B12,IF(I10=År2,Landbrug!$D$32:$D$45,Landbrug!$E$32:$E$45)),'[1]Afgrødefordeling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IF(Landbrug!$E$47&gt;0,SUMIF(Landbrug!$B$32:$B$45,$B13,IF(I11=År2,Landbrug!$D$32:$D$45,Landbrug!$E$32:$E$45)),'[1]Afgrødefordeling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IF(Landbrug!$E$47&gt;0,SUMIF(Landbrug!$B$32:$B$45,$B13,IF(I11=År2,Landbrug!$D$32:$D$45,Landbrug!$E$32:$E$45)),'[1]Afgrødefordeling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IF(Landbrug!$E$47&gt;0,SUMIF(Landbrug!$B$32:$B$45,$B14,IF(I12=År2,Landbrug!$D$32:$D$45,Landbrug!$E$32:$E$45)),'[1]Afgrødefordeling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IF(Landbrug!$E$47&gt;0,SUMIF(Landbrug!$B$32:$B$45,$B14,IF(I12=År2,Landbrug!$D$32:$D$45,Landbrug!$E$32:$E$45)),'[1]Afgrødefordeling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IF(Landbrug!$E$47&gt;0,SUMIF(Landbrug!$B$32:$B$45,$B15,IF(I13=År2,Landbrug!$D$32:$D$45,Landbrug!$E$32:$E$45)),'[1]Afgrødefordeling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IF(Landbrug!$E$47&gt;0,SUMIF(Landbrug!$B$32:$B$45,$B15,IF(I13=År2,Landbrug!$D$32:$D$45,Landbrug!$E$32:$E$45)),'[1]Afgrødefordeling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IF(Landbrug!$E$47&gt;0,SUMIF(Landbrug!$B$32:$B$45,$B16,IF(I14=År2,Landbrug!$D$32:$D$45,Landbrug!$E$32:$E$45)),'[1]Afgrødefordeling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IF(Landbrug!$E$47&gt;0,SUMIF(Landbrug!$B$32:$B$45,$B16,IF(I14=År2,Landbrug!$D$32:$D$45,Landbrug!$E$32:$E$45)),'[1]Afgrødefordeling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IF(Landbrug!$E$47&gt;0,SUMIF(Landbrug!$B$32:$B$45,$B17,IF(I15=År2,Landbrug!$D$32:$D$45,Landbrug!$E$32:$E$45)),'[1]Afgrødefordeling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IF(Landbrug!$E$47&gt;0,SUMIF(Landbrug!$B$32:$B$45,$B17,IF(I15=År2,Landbrug!$D$32:$D$45,Landbrug!$E$32:$E$45)),'[1]Afgrødefordeling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IF(Landbrug!$E$47&gt;0,SUMIF(Landbrug!$B$32:$B$45,$B18,IF(I16=År2,Landbrug!$D$32:$D$45,Landbrug!$E$32:$E$45)),'[1]Afgrødefordeling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IF(Landbrug!$E$47&gt;0,SUMIF(Landbrug!$B$32:$B$45,$B18,IF(I16=År2,Landbrug!$D$32:$D$45,Landbrug!$E$32:$E$45)),'[1]Afgrødefordeling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IF(Landbrug!$E$47&gt;0,SUMIF(Landbrug!$B$32:$B$45,$B19,IF(I17=År2,Landbrug!$D$32:$D$45,Landbrug!$E$32:$E$45)),'[1]Afgrødefordeling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IF(Landbrug!$E$47&gt;0,SUMIF(Landbrug!$B$32:$B$45,$B19,IF(I17=År2,Landbrug!$D$32:$D$45,Landbrug!$E$32:$E$45)),'[1]Afgrødefordeling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8" t="s">
        <v>7</v>
      </c>
      <c r="D22" s="369"/>
      <c r="E22" s="370"/>
      <c r="F22" s="374" t="s">
        <v>8</v>
      </c>
      <c r="G22" s="369"/>
      <c r="H22" s="37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5" t="s">
        <v>24</v>
      </c>
      <c r="B29" s="366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7"/>
    </row>
    <row r="30" spans="1:21" x14ac:dyDescent="0.25">
      <c r="A30" s="56"/>
      <c r="B30" s="53"/>
      <c r="C30" s="371" t="s">
        <v>7</v>
      </c>
      <c r="D30" s="372"/>
      <c r="E30" s="372"/>
      <c r="F30" s="372"/>
      <c r="G30" s="372"/>
      <c r="H30" s="372"/>
      <c r="I30" s="372"/>
      <c r="J30" s="372"/>
      <c r="K30" s="373"/>
      <c r="L30" s="371" t="s">
        <v>8</v>
      </c>
      <c r="M30" s="372"/>
      <c r="N30" s="372"/>
      <c r="O30" s="372"/>
      <c r="P30" s="372"/>
      <c r="Q30" s="372"/>
      <c r="R30" s="372"/>
      <c r="S30" s="372"/>
      <c r="T30" s="373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IF(Landbrug!$E$47&gt;0,SUMIF(Landbrug!$B$32:$B$45,$B33,IF(I32=År2,Landbrug!$D$32:$D$45,Landbrug!$E$32:$E$45)),'[1]Afgrødefordeling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IF(Landbrug!$E$47&gt;0,SUMIF(Landbrug!$B$32:$B$45,$B33,IF(R32=År2,Landbrug!$D$32:$D$45,Landbrug!$E$32:$E$45)),'[1]Afgrødefordeling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IF(Landbrug!$E$47&gt;0,SUMIF(Landbrug!$B$32:$B$45,$B34,IF(I33=År2,Landbrug!$D$32:$D$45,Landbrug!$E$32:$E$45)),'[1]Afgrødefordeling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IF(Landbrug!$E$47&gt;0,SUMIF(Landbrug!$B$32:$B$45,$B34,IF(R33=År2,Landbrug!$D$32:$D$45,Landbrug!$E$32:$E$45)),'[1]Afgrødefordeling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IF(Landbrug!$E$47&gt;0,SUMIF(Landbrug!$B$32:$B$45,$B35,IF(I34=År2,Landbrug!$D$32:$D$45,Landbrug!$E$32:$E$45)),'[1]Afgrødefordeling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IF(Landbrug!$E$47&gt;0,SUMIF(Landbrug!$B$32:$B$45,$B35,IF(R34=År2,Landbrug!$D$32:$D$45,Landbrug!$E$32:$E$45)),'[1]Afgrødefordeling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IF(Landbrug!$E$47&gt;0,SUMIF(Landbrug!$B$32:$B$45,$B36,IF(I35=År2,Landbrug!$D$32:$D$45,Landbrug!$E$32:$E$45)),'[1]Afgrødefordeling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IF(Landbrug!$E$47&gt;0,SUMIF(Landbrug!$B$32:$B$45,$B36,IF(R35=År2,Landbrug!$D$32:$D$45,Landbrug!$E$32:$E$45)),'[1]Afgrødefordeling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IF(Landbrug!$E$47&gt;0,SUMIF(Landbrug!$B$32:$B$45,$B37,IF(I36=År2,Landbrug!$D$32:$D$45,Landbrug!$E$32:$E$45)),'[1]Afgrødefordeling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IF(Landbrug!$E$47&gt;0,SUMIF(Landbrug!$B$32:$B$45,$B37,IF(R36=År2,Landbrug!$D$32:$D$45,Landbrug!$E$32:$E$45)),'[1]Afgrødefordeling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IF(Landbrug!$E$47&gt;0,SUMIF(Landbrug!$B$32:$B$45,$B38,IF(I37=År2,Landbrug!$D$32:$D$45,Landbrug!$E$32:$E$45)),'[1]Afgrødefordeling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IF(Landbrug!$E$47&gt;0,SUMIF(Landbrug!$B$32:$B$45,$B38,IF(R37=År2,Landbrug!$D$32:$D$45,Landbrug!$E$32:$E$45)),'[1]Afgrødefordeling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IF(Landbrug!$E$47&gt;0,SUMIF(Landbrug!$B$32:$B$45,$B39,IF(I38=År2,Landbrug!$D$32:$D$45,Landbrug!$E$32:$E$45)),'[1]Afgrødefordeling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IF(Landbrug!$E$47&gt;0,SUMIF(Landbrug!$B$32:$B$45,$B39,IF(R38=År2,Landbrug!$D$32:$D$45,Landbrug!$E$32:$E$45)),'[1]Afgrødefordeling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IF(Landbrug!$E$47&gt;0,SUMIF(Landbrug!$B$32:$B$45,$B40,IF(I39=År2,Landbrug!$D$32:$D$45,Landbrug!$E$32:$E$45)),'[1]Afgrødefordeling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IF(Landbrug!$E$47&gt;0,SUMIF(Landbrug!$B$32:$B$45,$B40,IF(R39=År2,Landbrug!$D$32:$D$45,Landbrug!$E$32:$E$45)),'[1]Afgrødefordeling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IF(Landbrug!$E$47&gt;0,SUMIF(Landbrug!$B$32:$B$45,$B41,IF(I40=År2,Landbrug!$D$32:$D$45,Landbrug!$E$32:$E$45)),'[1]Afgrødefordeling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IF(Landbrug!$E$47&gt;0,SUMIF(Landbrug!$B$32:$B$45,$B41,IF(R40=År2,Landbrug!$D$32:$D$45,Landbrug!$E$32:$E$45)),'[1]Afgrødefordeling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IF(Landbrug!$E$47&gt;0,SUMIF(Landbrug!$B$32:$B$45,$B42,IF(I41=År2,Landbrug!$D$32:$D$45,Landbrug!$E$32:$E$45)),'[1]Afgrødefordeling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IF(Landbrug!$E$47&gt;0,SUMIF(Landbrug!$B$32:$B$45,$B42,IF(R41=År2,Landbrug!$D$32:$D$45,Landbrug!$E$32:$E$45)),'[1]Afgrødefordeling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IF(Landbrug!$E$47&gt;0,SUMIF(Landbrug!$B$32:$B$45,$B43,IF(I42=År2,Landbrug!$D$32:$D$45,Landbrug!$E$32:$E$45)),'[1]Afgrødefordeling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IF(Landbrug!$E$47&gt;0,SUMIF(Landbrug!$B$32:$B$45,$B43,IF(R42=År2,Landbrug!$D$32:$D$45,Landbrug!$E$32:$E$45)),'[1]Afgrødefordeling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IF(Landbrug!$E$47&gt;0,SUMIF(Landbrug!$B$32:$B$45,$B44,IF(I43=År2,Landbrug!$D$32:$D$45,Landbrug!$E$32:$E$45)),'[1]Afgrødefordeling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IF(Landbrug!$E$47&gt;0,SUMIF(Landbrug!$B$32:$B$45,$B44,IF(R43=År2,Landbrug!$D$32:$D$45,Landbrug!$E$32:$E$45)),'[1]Afgrødefordeling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IF(Landbrug!$E$47&gt;0,SUMIF(Landbrug!$B$32:$B$45,$B45,IF(I44=År2,Landbrug!$D$32:$D$45,Landbrug!$E$32:$E$45)),'[1]Afgrødefordeling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IF(Landbrug!$E$47&gt;0,SUMIF(Landbrug!$B$32:$B$45,$B45,IF(R44=År2,Landbrug!$D$32:$D$45,Landbrug!$E$32:$E$45)),'[1]Afgrødefordeling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IF(Landbrug!$E$47&gt;0,SUMIF(Landbrug!$B$32:$B$45,$B46,IF(I45=År2,Landbrug!$D$32:$D$45,Landbrug!$E$32:$E$45)),'[1]Afgrødefordeling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IF(Landbrug!$E$47&gt;0,SUMIF(Landbrug!$B$32:$B$45,$B46,IF(R45=År2,Landbrug!$D$32:$D$45,Landbrug!$E$32:$E$45)),'[1]Afgrødefordeling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8" t="s">
        <v>7</v>
      </c>
      <c r="D49" s="369"/>
      <c r="E49" s="370"/>
      <c r="F49" s="374" t="s">
        <v>8</v>
      </c>
      <c r="G49" s="369"/>
      <c r="H49" s="37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J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28515625" bestFit="1" customWidth="1"/>
    <col min="37" max="37" width="12" bestFit="1" customWidth="1"/>
    <col min="38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6" x14ac:dyDescent="0.25">
      <c r="A3" s="77" t="s">
        <v>175</v>
      </c>
      <c r="B3" s="77" t="s">
        <v>62</v>
      </c>
    </row>
    <row r="4" spans="1:36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240</v>
      </c>
      <c r="AG4" s="171" t="s">
        <v>233</v>
      </c>
      <c r="AH4" s="171" t="s">
        <v>111</v>
      </c>
      <c r="AI4" s="171" t="s">
        <v>116</v>
      </c>
      <c r="AJ4" s="171" t="s">
        <v>61</v>
      </c>
    </row>
    <row r="5" spans="1:36" x14ac:dyDescent="0.25">
      <c r="A5" s="78" t="s">
        <v>110</v>
      </c>
      <c r="B5" s="242"/>
      <c r="C5" s="242"/>
      <c r="D5" s="242">
        <v>1462906</v>
      </c>
      <c r="E5" s="242">
        <v>3840095.3813778022</v>
      </c>
      <c r="F5" s="242"/>
      <c r="G5" s="242">
        <v>13632.279090274656</v>
      </c>
      <c r="H5" s="242"/>
      <c r="I5" s="242"/>
      <c r="J5" s="242">
        <v>428226</v>
      </c>
      <c r="K5" s="242">
        <v>257031</v>
      </c>
      <c r="L5" s="242"/>
      <c r="M5" s="242">
        <v>227802</v>
      </c>
      <c r="N5" s="242">
        <v>234</v>
      </c>
      <c r="O5" s="242"/>
      <c r="P5" s="242">
        <v>2444654</v>
      </c>
      <c r="Q5" s="242"/>
      <c r="R5" s="242">
        <v>11358</v>
      </c>
      <c r="S5" s="242">
        <v>25289114.74956274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8334841.759060693</v>
      </c>
      <c r="AB5" s="242">
        <v>20819659.111597929</v>
      </c>
      <c r="AC5" s="242"/>
      <c r="AD5" s="242"/>
      <c r="AE5" s="242"/>
      <c r="AF5" s="242"/>
      <c r="AG5" s="242"/>
      <c r="AH5" s="242"/>
      <c r="AI5" s="242"/>
      <c r="AJ5" s="242">
        <v>64205567.280689433</v>
      </c>
    </row>
    <row r="6" spans="1:36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/>
      <c r="AI6" s="242"/>
      <c r="AJ6" s="242">
        <v>13090417.500000002</v>
      </c>
    </row>
    <row r="7" spans="1:36" x14ac:dyDescent="0.25">
      <c r="A7" s="79">
        <v>2030</v>
      </c>
      <c r="B7" s="242"/>
      <c r="C7" s="242"/>
      <c r="D7" s="242">
        <v>363995</v>
      </c>
      <c r="E7" s="242">
        <v>1505490.464025514</v>
      </c>
      <c r="F7" s="242"/>
      <c r="G7" s="242">
        <v>4521.4640303491688</v>
      </c>
      <c r="H7" s="242"/>
      <c r="I7" s="242"/>
      <c r="J7" s="242">
        <v>142742</v>
      </c>
      <c r="K7" s="242">
        <v>85677.000000000029</v>
      </c>
      <c r="L7" s="242"/>
      <c r="M7" s="242">
        <v>75933.999999999985</v>
      </c>
      <c r="N7" s="242">
        <v>78</v>
      </c>
      <c r="O7" s="242"/>
      <c r="P7" s="242">
        <v>725967.99999999977</v>
      </c>
      <c r="Q7" s="242"/>
      <c r="R7" s="242">
        <v>3786.0000000000009</v>
      </c>
      <c r="S7" s="242">
        <v>10568777.271841513</v>
      </c>
      <c r="T7" s="242"/>
      <c r="U7" s="242">
        <v>330026</v>
      </c>
      <c r="V7" s="242"/>
      <c r="W7" s="242"/>
      <c r="X7" s="242"/>
      <c r="Y7" s="242">
        <v>28644.999999999996</v>
      </c>
      <c r="Z7" s="242"/>
      <c r="AA7" s="242">
        <v>2775329.8009308982</v>
      </c>
      <c r="AB7" s="242">
        <v>9147340.4973796755</v>
      </c>
      <c r="AC7" s="242"/>
      <c r="AD7" s="242"/>
      <c r="AE7" s="242"/>
      <c r="AF7" s="242"/>
      <c r="AG7" s="242"/>
      <c r="AH7" s="242"/>
      <c r="AI7" s="242"/>
      <c r="AJ7" s="242">
        <v>25758310.498207949</v>
      </c>
    </row>
    <row r="8" spans="1:36" x14ac:dyDescent="0.25">
      <c r="A8" s="79">
        <v>2050</v>
      </c>
      <c r="B8" s="242"/>
      <c r="C8" s="242"/>
      <c r="D8" s="242">
        <v>369777</v>
      </c>
      <c r="E8" s="242">
        <v>1577517.9173522878</v>
      </c>
      <c r="F8" s="242"/>
      <c r="G8" s="242">
        <v>4669.3150599254868</v>
      </c>
      <c r="H8" s="242"/>
      <c r="I8" s="242"/>
      <c r="J8" s="242">
        <v>142742</v>
      </c>
      <c r="K8" s="242">
        <v>85677</v>
      </c>
      <c r="L8" s="242"/>
      <c r="M8" s="242">
        <v>75934</v>
      </c>
      <c r="N8" s="242">
        <v>78</v>
      </c>
      <c r="O8" s="242"/>
      <c r="P8" s="242">
        <v>723032.00000000023</v>
      </c>
      <c r="Q8" s="242"/>
      <c r="R8" s="242">
        <v>3786</v>
      </c>
      <c r="S8" s="242">
        <v>10366827.811054559</v>
      </c>
      <c r="T8" s="242"/>
      <c r="U8" s="242">
        <v>330026</v>
      </c>
      <c r="V8" s="242"/>
      <c r="W8" s="242"/>
      <c r="X8" s="242"/>
      <c r="Y8" s="242">
        <v>28644.999999999996</v>
      </c>
      <c r="Z8" s="242"/>
      <c r="AA8" s="242">
        <v>2890677.9581297943</v>
      </c>
      <c r="AB8" s="242">
        <v>8757449.2808849197</v>
      </c>
      <c r="AC8" s="242"/>
      <c r="AD8" s="242"/>
      <c r="AE8" s="242"/>
      <c r="AF8" s="242"/>
      <c r="AG8" s="242"/>
      <c r="AH8" s="242"/>
      <c r="AI8" s="242"/>
      <c r="AJ8" s="242">
        <v>25356839.282481484</v>
      </c>
    </row>
    <row r="9" spans="1:36" x14ac:dyDescent="0.25">
      <c r="A9" s="78" t="s">
        <v>113</v>
      </c>
      <c r="B9" s="242"/>
      <c r="C9" s="242">
        <v>217245.27668679622</v>
      </c>
      <c r="D9" s="242"/>
      <c r="E9" s="242"/>
      <c r="F9" s="242"/>
      <c r="G9" s="242"/>
      <c r="H9" s="242"/>
      <c r="I9" s="242"/>
      <c r="J9" s="242"/>
      <c r="K9" s="242">
        <v>41219273.95581004</v>
      </c>
      <c r="L9" s="242"/>
      <c r="M9" s="242">
        <v>2603926.024732016</v>
      </c>
      <c r="N9" s="242"/>
      <c r="O9" s="242">
        <v>16263222.796414331</v>
      </c>
      <c r="P9" s="242"/>
      <c r="Q9" s="242">
        <v>0</v>
      </c>
      <c r="R9" s="242">
        <v>19802510.429103382</v>
      </c>
      <c r="S9" s="242"/>
      <c r="T9" s="242">
        <v>5105264.0021397118</v>
      </c>
      <c r="U9" s="242">
        <v>19054221.142737754</v>
      </c>
      <c r="V9" s="242"/>
      <c r="W9" s="242"/>
      <c r="X9" s="242"/>
      <c r="Y9" s="242">
        <v>2833240.4834569679</v>
      </c>
      <c r="Z9" s="242">
        <v>132761.00241970882</v>
      </c>
      <c r="AA9" s="242"/>
      <c r="AB9" s="242"/>
      <c r="AC9" s="242"/>
      <c r="AD9" s="242"/>
      <c r="AE9" s="242"/>
      <c r="AF9" s="242">
        <v>721133.62677978189</v>
      </c>
      <c r="AG9" s="242"/>
      <c r="AH9" s="242"/>
      <c r="AI9" s="242"/>
      <c r="AJ9" s="242">
        <v>107952798.74028048</v>
      </c>
    </row>
    <row r="10" spans="1:36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240377.87559326066</v>
      </c>
      <c r="AG10" s="242"/>
      <c r="AH10" s="242"/>
      <c r="AI10" s="242"/>
      <c r="AJ10" s="242">
        <v>35984266.24676016</v>
      </c>
    </row>
    <row r="11" spans="1:36" x14ac:dyDescent="0.25">
      <c r="A11" s="79">
        <v>2030</v>
      </c>
      <c r="B11" s="242"/>
      <c r="C11" s="242">
        <v>72415.092228932073</v>
      </c>
      <c r="D11" s="242"/>
      <c r="E11" s="242"/>
      <c r="F11" s="242"/>
      <c r="G11" s="242"/>
      <c r="H11" s="242"/>
      <c r="I11" s="242"/>
      <c r="J11" s="242"/>
      <c r="K11" s="242">
        <v>13739757.985270012</v>
      </c>
      <c r="L11" s="242"/>
      <c r="M11" s="242">
        <v>867975.34157733864</v>
      </c>
      <c r="N11" s="242"/>
      <c r="O11" s="242">
        <v>5421074.2654714435</v>
      </c>
      <c r="P11" s="242"/>
      <c r="Q11" s="242">
        <v>0</v>
      </c>
      <c r="R11" s="242">
        <v>6600836.809701127</v>
      </c>
      <c r="S11" s="242"/>
      <c r="T11" s="242">
        <v>1701754.6673799036</v>
      </c>
      <c r="U11" s="242">
        <v>6351407.0475792503</v>
      </c>
      <c r="V11" s="242"/>
      <c r="W11" s="242"/>
      <c r="X11" s="242"/>
      <c r="Y11" s="242">
        <v>944413.49448565592</v>
      </c>
      <c r="Z11" s="242">
        <v>44253.667473236274</v>
      </c>
      <c r="AA11" s="242"/>
      <c r="AB11" s="242"/>
      <c r="AC11" s="242"/>
      <c r="AD11" s="242"/>
      <c r="AE11" s="242"/>
      <c r="AF11" s="242">
        <v>240377.87559326063</v>
      </c>
      <c r="AG11" s="242"/>
      <c r="AH11" s="242"/>
      <c r="AI11" s="242"/>
      <c r="AJ11" s="242">
        <v>35984266.246760152</v>
      </c>
    </row>
    <row r="12" spans="1:36" x14ac:dyDescent="0.25">
      <c r="A12" s="79">
        <v>2050</v>
      </c>
      <c r="B12" s="242"/>
      <c r="C12" s="242">
        <v>72415.092228932073</v>
      </c>
      <c r="D12" s="242"/>
      <c r="E12" s="242"/>
      <c r="F12" s="242"/>
      <c r="G12" s="242"/>
      <c r="H12" s="242"/>
      <c r="I12" s="242"/>
      <c r="J12" s="242"/>
      <c r="K12" s="242">
        <v>13739757.985270012</v>
      </c>
      <c r="L12" s="242"/>
      <c r="M12" s="242">
        <v>867975.34157733864</v>
      </c>
      <c r="N12" s="242"/>
      <c r="O12" s="242">
        <v>5421074.2654714435</v>
      </c>
      <c r="P12" s="242"/>
      <c r="Q12" s="242">
        <v>0</v>
      </c>
      <c r="R12" s="242">
        <v>6600836.809701127</v>
      </c>
      <c r="S12" s="242"/>
      <c r="T12" s="242">
        <v>1701754.6673799036</v>
      </c>
      <c r="U12" s="242">
        <v>6351407.0475792503</v>
      </c>
      <c r="V12" s="242"/>
      <c r="W12" s="242"/>
      <c r="X12" s="242"/>
      <c r="Y12" s="242">
        <v>944413.49448565592</v>
      </c>
      <c r="Z12" s="242">
        <v>44253.667473236274</v>
      </c>
      <c r="AA12" s="242"/>
      <c r="AB12" s="242"/>
      <c r="AC12" s="242"/>
      <c r="AD12" s="242"/>
      <c r="AE12" s="242"/>
      <c r="AF12" s="242">
        <v>240377.87559326063</v>
      </c>
      <c r="AG12" s="242"/>
      <c r="AH12" s="242"/>
      <c r="AI12" s="242"/>
      <c r="AJ12" s="242">
        <v>35984266.246760152</v>
      </c>
    </row>
    <row r="13" spans="1:36" x14ac:dyDescent="0.25">
      <c r="A13" s="78" t="s">
        <v>128</v>
      </c>
      <c r="B13" s="242">
        <v>182574.19618217932</v>
      </c>
      <c r="C13" s="242">
        <v>0</v>
      </c>
      <c r="D13" s="242"/>
      <c r="E13" s="242"/>
      <c r="F13" s="242">
        <v>281468.55244752642</v>
      </c>
      <c r="G13" s="242"/>
      <c r="H13" s="242">
        <v>197788.71253069426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336392.95646566537</v>
      </c>
      <c r="X13" s="242"/>
      <c r="Y13" s="242"/>
      <c r="Z13" s="242"/>
      <c r="AA13" s="242"/>
      <c r="AB13" s="242"/>
      <c r="AC13" s="242">
        <v>682979.63888483576</v>
      </c>
      <c r="AD13" s="242"/>
      <c r="AE13" s="242"/>
      <c r="AF13" s="242"/>
      <c r="AG13" s="242"/>
      <c r="AH13" s="242"/>
      <c r="AI13" s="242"/>
      <c r="AJ13" s="242">
        <v>9638396.1067842171</v>
      </c>
    </row>
    <row r="14" spans="1:36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>
        <v>3083197.0190696353</v>
      </c>
    </row>
    <row r="15" spans="1:36" x14ac:dyDescent="0.25">
      <c r="A15" s="79">
        <v>2030</v>
      </c>
      <c r="B15" s="242">
        <v>60789.12467762841</v>
      </c>
      <c r="C15" s="242">
        <v>0</v>
      </c>
      <c r="D15" s="242"/>
      <c r="E15" s="242"/>
      <c r="F15" s="242">
        <v>93716.56721134379</v>
      </c>
      <c r="G15" s="242"/>
      <c r="H15" s="242">
        <v>65854.885067430776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112003.96221853035</v>
      </c>
      <c r="X15" s="242"/>
      <c r="Y15" s="242"/>
      <c r="Z15" s="242"/>
      <c r="AA15" s="242"/>
      <c r="AB15" s="242"/>
      <c r="AC15" s="242">
        <v>227401.98389822827</v>
      </c>
      <c r="AD15" s="242"/>
      <c r="AE15" s="242"/>
      <c r="AF15" s="242"/>
      <c r="AG15" s="242"/>
      <c r="AH15" s="242"/>
      <c r="AI15" s="242"/>
      <c r="AJ15" s="242">
        <v>3209159.2069397997</v>
      </c>
    </row>
    <row r="16" spans="1:36" x14ac:dyDescent="0.25">
      <c r="A16" s="79">
        <v>2050</v>
      </c>
      <c r="B16" s="242">
        <v>63381.970906546776</v>
      </c>
      <c r="C16" s="242">
        <v>0</v>
      </c>
      <c r="D16" s="242"/>
      <c r="E16" s="242"/>
      <c r="F16" s="242">
        <v>97713.871814259604</v>
      </c>
      <c r="G16" s="242"/>
      <c r="H16" s="242">
        <v>68663.801815425672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116781.28139531243</v>
      </c>
      <c r="X16" s="242"/>
      <c r="Y16" s="242"/>
      <c r="Z16" s="242"/>
      <c r="AA16" s="242"/>
      <c r="AB16" s="242"/>
      <c r="AC16" s="242">
        <v>237101.38949957371</v>
      </c>
      <c r="AD16" s="242"/>
      <c r="AE16" s="242"/>
      <c r="AF16" s="242"/>
      <c r="AG16" s="242"/>
      <c r="AH16" s="242"/>
      <c r="AI16" s="242"/>
      <c r="AJ16" s="242">
        <v>3346039.8807747816</v>
      </c>
    </row>
    <row r="17" spans="1:36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5397115.7608660124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636963.68412800436</v>
      </c>
      <c r="AE17" s="242">
        <v>8445237.9421698824</v>
      </c>
      <c r="AF17" s="242"/>
      <c r="AG17" s="242">
        <v>561015.58304251544</v>
      </c>
      <c r="AH17" s="242"/>
      <c r="AI17" s="242"/>
      <c r="AJ17" s="242">
        <v>17988525.970206413</v>
      </c>
    </row>
    <row r="18" spans="1:36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>
        <v>112887.06079513082</v>
      </c>
      <c r="AH18" s="242"/>
      <c r="AI18" s="242"/>
      <c r="AJ18" s="242">
        <v>6209404.1530503789</v>
      </c>
    </row>
    <row r="19" spans="1:36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1802534.1213624873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216936.14364827855</v>
      </c>
      <c r="AE19" s="242">
        <v>2848752.9835421797</v>
      </c>
      <c r="AF19" s="242"/>
      <c r="AG19" s="242">
        <v>227903.51886082417</v>
      </c>
      <c r="AH19" s="242"/>
      <c r="AI19" s="242"/>
      <c r="AJ19" s="242">
        <v>6078857.7674137698</v>
      </c>
    </row>
    <row r="20" spans="1:36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1700816.4269679631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210245.15308472581</v>
      </c>
      <c r="AE20" s="242">
        <v>2586246.4663030161</v>
      </c>
      <c r="AF20" s="242"/>
      <c r="AG20" s="242">
        <v>220225.00338656051</v>
      </c>
      <c r="AH20" s="242"/>
      <c r="AI20" s="242"/>
      <c r="AJ20" s="242">
        <v>5700264.0497422656</v>
      </c>
    </row>
    <row r="21" spans="1:36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>
        <v>104203.4407339669</v>
      </c>
      <c r="AH21" s="242"/>
      <c r="AI21" s="242"/>
      <c r="AJ21" s="242">
        <v>104203.4407339669</v>
      </c>
    </row>
    <row r="22" spans="1:36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>
        <v>104203.4407339669</v>
      </c>
      <c r="AH22" s="242"/>
      <c r="AI22" s="242"/>
      <c r="AJ22" s="242">
        <v>104203.4407339669</v>
      </c>
    </row>
    <row r="23" spans="1:36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>
        <v>0</v>
      </c>
      <c r="AH23" s="242"/>
      <c r="AI23" s="242"/>
      <c r="AJ23" s="242">
        <v>0</v>
      </c>
    </row>
    <row r="24" spans="1:36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>
        <v>0</v>
      </c>
      <c r="AH24" s="242"/>
      <c r="AI24" s="242"/>
      <c r="AJ24" s="242">
        <v>0</v>
      </c>
    </row>
    <row r="25" spans="1:36" x14ac:dyDescent="0.25">
      <c r="A25" s="78" t="s">
        <v>115</v>
      </c>
      <c r="B25" s="242"/>
      <c r="C25" s="242"/>
      <c r="D25" s="242"/>
      <c r="E25" s="242">
        <v>1990903.880093025</v>
      </c>
      <c r="F25" s="242"/>
      <c r="G25" s="242">
        <v>10321.582739779382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10803873.803965537</v>
      </c>
      <c r="T25" s="242"/>
      <c r="U25" s="242"/>
      <c r="V25" s="242"/>
      <c r="W25" s="242"/>
      <c r="X25" s="242"/>
      <c r="Y25" s="242"/>
      <c r="Z25" s="242"/>
      <c r="AA25" s="242"/>
      <c r="AB25" s="242">
        <v>30619963.111542813</v>
      </c>
      <c r="AC25" s="242"/>
      <c r="AD25" s="242"/>
      <c r="AE25" s="242"/>
      <c r="AF25" s="242"/>
      <c r="AG25" s="242"/>
      <c r="AH25" s="242">
        <v>49812146.382281654</v>
      </c>
      <c r="AI25" s="242">
        <v>3060289.8289715229</v>
      </c>
      <c r="AJ25" s="242">
        <v>96297498.589594334</v>
      </c>
    </row>
    <row r="26" spans="1:36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>
        <v>8803491.7355084848</v>
      </c>
      <c r="AI26" s="242">
        <v>1108490.5539925825</v>
      </c>
      <c r="AJ26" s="242">
        <v>31905165.644858211</v>
      </c>
    </row>
    <row r="27" spans="1:36" x14ac:dyDescent="0.25">
      <c r="A27" s="79">
        <v>2030</v>
      </c>
      <c r="B27" s="242"/>
      <c r="C27" s="242"/>
      <c r="D27" s="242"/>
      <c r="E27" s="242">
        <v>569935.67566680163</v>
      </c>
      <c r="F27" s="242"/>
      <c r="G27" s="242">
        <v>3423.3941944072276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2211099.4555563163</v>
      </c>
      <c r="T27" s="242"/>
      <c r="U27" s="242"/>
      <c r="V27" s="242"/>
      <c r="W27" s="242"/>
      <c r="X27" s="242"/>
      <c r="Y27" s="242"/>
      <c r="Z27" s="242"/>
      <c r="AA27" s="242"/>
      <c r="AB27" s="242">
        <v>8111792.5165442396</v>
      </c>
      <c r="AC27" s="242"/>
      <c r="AD27" s="242"/>
      <c r="AE27" s="242"/>
      <c r="AF27" s="242"/>
      <c r="AG27" s="242"/>
      <c r="AH27" s="242">
        <v>20758258.546328586</v>
      </c>
      <c r="AI27" s="242">
        <v>992426.54344299308</v>
      </c>
      <c r="AJ27" s="242">
        <v>32646936.131733343</v>
      </c>
    </row>
    <row r="28" spans="1:36" x14ac:dyDescent="0.25">
      <c r="A28" s="79">
        <v>2050</v>
      </c>
      <c r="B28" s="242"/>
      <c r="C28" s="242"/>
      <c r="D28" s="242"/>
      <c r="E28" s="242">
        <v>597203.21156908036</v>
      </c>
      <c r="F28" s="242"/>
      <c r="G28" s="242">
        <v>3535.3385453721544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2168849.5025758878</v>
      </c>
      <c r="T28" s="242"/>
      <c r="U28" s="242"/>
      <c r="V28" s="242"/>
      <c r="W28" s="242"/>
      <c r="X28" s="242"/>
      <c r="Y28" s="242"/>
      <c r="Z28" s="242"/>
      <c r="AA28" s="242"/>
      <c r="AB28" s="242">
        <v>7766039.9283319106</v>
      </c>
      <c r="AC28" s="242"/>
      <c r="AD28" s="242"/>
      <c r="AE28" s="242"/>
      <c r="AF28" s="242"/>
      <c r="AG28" s="242"/>
      <c r="AH28" s="242">
        <v>20250396.100444585</v>
      </c>
      <c r="AI28" s="242">
        <v>959372.73153594765</v>
      </c>
      <c r="AJ28" s="242">
        <v>31745396.813002784</v>
      </c>
    </row>
    <row r="29" spans="1:36" x14ac:dyDescent="0.25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>
        <v>2078809.4493015073</v>
      </c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>
        <v>2078809.4493015073</v>
      </c>
    </row>
    <row r="30" spans="1:36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>
        <v>678407.81727843033</v>
      </c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>
        <v>678407.81727843033</v>
      </c>
    </row>
    <row r="31" spans="1:36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>
        <v>712198.49644007557</v>
      </c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>
        <v>712198.49644007557</v>
      </c>
    </row>
    <row r="32" spans="1:36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>
        <v>688203.13558300154</v>
      </c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>
        <v>688203.13558300154</v>
      </c>
    </row>
    <row r="33" spans="1:36" x14ac:dyDescent="0.25">
      <c r="A33" s="78" t="s">
        <v>61</v>
      </c>
      <c r="B33" s="242">
        <v>182574.19618217932</v>
      </c>
      <c r="C33" s="242">
        <v>217245.27668679622</v>
      </c>
      <c r="D33" s="242">
        <v>1462906</v>
      </c>
      <c r="E33" s="242">
        <v>5830999.2614708273</v>
      </c>
      <c r="F33" s="242">
        <v>281468.55244752642</v>
      </c>
      <c r="G33" s="242">
        <v>23953.861830054037</v>
      </c>
      <c r="H33" s="242">
        <v>197788.71253069426</v>
      </c>
      <c r="I33" s="242">
        <v>1445379.0531089196</v>
      </c>
      <c r="J33" s="242">
        <v>428226</v>
      </c>
      <c r="K33" s="242">
        <v>41476304.95581004</v>
      </c>
      <c r="L33" s="242">
        <v>1513844.376677237</v>
      </c>
      <c r="M33" s="242">
        <v>8228843.7855980285</v>
      </c>
      <c r="N33" s="242">
        <v>2948427</v>
      </c>
      <c r="O33" s="242">
        <v>16263222.796414331</v>
      </c>
      <c r="P33" s="242">
        <v>2444654</v>
      </c>
      <c r="Q33" s="242">
        <v>692260.49385742994</v>
      </c>
      <c r="R33" s="242">
        <v>21472250.711091511</v>
      </c>
      <c r="S33" s="242">
        <v>36092988.553528279</v>
      </c>
      <c r="T33" s="242">
        <v>5105264.0021397118</v>
      </c>
      <c r="U33" s="242">
        <v>20044299.142737754</v>
      </c>
      <c r="V33" s="242">
        <v>2647325.8446415998</v>
      </c>
      <c r="W33" s="242">
        <v>336392.95646566537</v>
      </c>
      <c r="X33" s="242">
        <v>2078809.4493015073</v>
      </c>
      <c r="Y33" s="242">
        <v>2919175.4834569679</v>
      </c>
      <c r="Z33" s="242">
        <v>132761.00241970882</v>
      </c>
      <c r="AA33" s="242">
        <v>8334841.759060693</v>
      </c>
      <c r="AB33" s="242">
        <v>51439622.223140746</v>
      </c>
      <c r="AC33" s="242">
        <v>682979.63888483576</v>
      </c>
      <c r="AD33" s="242">
        <v>636963.68412800436</v>
      </c>
      <c r="AE33" s="242">
        <v>8445237.9421698824</v>
      </c>
      <c r="AF33" s="242">
        <v>721133.62677978189</v>
      </c>
      <c r="AG33" s="242">
        <v>665219.02377648233</v>
      </c>
      <c r="AH33" s="242">
        <v>49812146.382281654</v>
      </c>
      <c r="AI33" s="242">
        <v>3060289.8289715229</v>
      </c>
      <c r="AJ33" s="242">
        <v>298265799.57759029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0" width="11.28515625" bestFit="1" customWidth="1"/>
    <col min="11" max="11" width="9.28515625" bestFit="1" customWidth="1"/>
    <col min="12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288</v>
      </c>
      <c r="B2" s="78">
        <v>1</v>
      </c>
    </row>
    <row r="4" spans="1:10" x14ac:dyDescent="0.25">
      <c r="A4" s="77" t="s">
        <v>316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1108490.5539925825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7949378.1351335607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992426.54344299308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7204651.9737839419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959372.73153594765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7231180.0584089663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3060289.8289715229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22385210.167326469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3.85546875" style="171" bestFit="1" customWidth="1"/>
    <col min="24" max="24" width="10.140625" style="171" bestFit="1" customWidth="1"/>
    <col min="25" max="25" width="12.140625" style="171" bestFit="1" customWidth="1"/>
    <col min="26" max="26" width="16" style="171" bestFit="1" customWidth="1"/>
    <col min="27" max="28" width="9.85546875" style="171" bestFit="1" customWidth="1"/>
    <col min="29" max="29" width="9.28515625" style="171" bestFit="1" customWidth="1"/>
    <col min="30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119</v>
      </c>
      <c r="X5" s="171" t="s">
        <v>137</v>
      </c>
      <c r="Y5" s="171" t="s">
        <v>138</v>
      </c>
      <c r="Z5" s="171" t="s">
        <v>141</v>
      </c>
      <c r="AA5" s="171" t="s">
        <v>56</v>
      </c>
      <c r="AB5" s="171" t="s">
        <v>55</v>
      </c>
      <c r="AC5" s="171" t="s">
        <v>240</v>
      </c>
      <c r="AD5" s="171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827693.20492220437</v>
      </c>
      <c r="X6" s="98">
        <v>3272565.4875000007</v>
      </c>
      <c r="Y6" s="98">
        <v>1078.6499999999999</v>
      </c>
      <c r="Z6" s="98">
        <v>4368323.901678659</v>
      </c>
      <c r="AA6" s="98">
        <v>911574.64248506655</v>
      </c>
      <c r="AB6" s="98">
        <v>2005102.1714007764</v>
      </c>
      <c r="AC6" s="98">
        <v>98826.033045954537</v>
      </c>
      <c r="AD6" s="98">
        <v>38726531.363933533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783291.25515859458</v>
      </c>
      <c r="X7" s="98">
        <v>1126409.156604161</v>
      </c>
      <c r="Y7" s="98">
        <v>1098.0698359419412</v>
      </c>
      <c r="Z7" s="98">
        <v>4542635.2873380352</v>
      </c>
      <c r="AA7" s="98">
        <v>954977.96501922607</v>
      </c>
      <c r="AB7" s="98">
        <v>2101303.8465657956</v>
      </c>
      <c r="AC7" s="98">
        <v>115721.37262677713</v>
      </c>
      <c r="AD7" s="98">
        <v>38013621.305071242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712825.86568798381</v>
      </c>
      <c r="X8" s="98">
        <v>1104885.5956518676</v>
      </c>
      <c r="Y8" s="98">
        <v>1133.9765145533327</v>
      </c>
      <c r="Z8" s="98">
        <v>4731436.1314918958</v>
      </c>
      <c r="AA8" s="98">
        <v>922616.4144434646</v>
      </c>
      <c r="AB8" s="98">
        <v>2030965.6070747143</v>
      </c>
      <c r="AC8" s="98">
        <v>103723.69219824017</v>
      </c>
      <c r="AD8" s="98">
        <v>36849740.25688234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2323810.3257687828</v>
      </c>
      <c r="X9" s="98">
        <v>5503860.23975603</v>
      </c>
      <c r="Y9" s="98">
        <v>3310.6963504952737</v>
      </c>
      <c r="Z9" s="98">
        <v>13642395.32050859</v>
      </c>
      <c r="AA9" s="98">
        <v>2789169.0219477573</v>
      </c>
      <c r="AB9" s="98">
        <v>6137371.6250412865</v>
      </c>
      <c r="AC9" s="98">
        <v>318271.09787097183</v>
      </c>
      <c r="AD9" s="98">
        <v>113589892.92588711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323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19.810752704992638</v>
      </c>
      <c r="C7" s="240">
        <v>0</v>
      </c>
      <c r="D7" s="240">
        <v>19.850360529489279</v>
      </c>
      <c r="E7" s="240">
        <v>26.93090541898259</v>
      </c>
      <c r="F7" s="240">
        <v>0.14596282488120896</v>
      </c>
      <c r="G7" s="240">
        <v>2.5858784763692717</v>
      </c>
      <c r="H7" s="240">
        <v>7.9766231601288453</v>
      </c>
      <c r="I7" s="240">
        <v>45.280222691386172</v>
      </c>
      <c r="J7" s="240">
        <v>0</v>
      </c>
      <c r="K7" s="240">
        <v>122.58070580623001</v>
      </c>
    </row>
    <row r="8" spans="1:11" x14ac:dyDescent="0.25">
      <c r="A8" s="79">
        <v>2050</v>
      </c>
      <c r="B8" s="240">
        <v>19.90496446847807</v>
      </c>
      <c r="C8" s="240">
        <v>0</v>
      </c>
      <c r="D8" s="240">
        <v>18.206836134418594</v>
      </c>
      <c r="E8" s="240">
        <v>24.858803548597574</v>
      </c>
      <c r="F8" s="240">
        <v>0.23461711386879117</v>
      </c>
      <c r="G8" s="240">
        <v>2.6714132137350775</v>
      </c>
      <c r="H8" s="240">
        <v>7.7078751185296177</v>
      </c>
      <c r="I8" s="240">
        <v>41.352452170508407</v>
      </c>
      <c r="J8" s="240">
        <v>0</v>
      </c>
      <c r="K8" s="240">
        <v>114.93696176813614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5.299004640736527</v>
      </c>
      <c r="C11" s="240">
        <v>2.1694819870080004</v>
      </c>
      <c r="D11" s="240">
        <v>1.4201719861750004</v>
      </c>
      <c r="E11" s="240">
        <v>0.45076703431999993</v>
      </c>
      <c r="F11" s="240">
        <v>0</v>
      </c>
      <c r="G11" s="240">
        <v>12.53543651233441</v>
      </c>
      <c r="H11" s="240">
        <v>0</v>
      </c>
      <c r="I11" s="240">
        <v>0</v>
      </c>
      <c r="J11" s="240">
        <v>0</v>
      </c>
      <c r="K11" s="240">
        <v>21.87486216057394</v>
      </c>
    </row>
    <row r="12" spans="1:11" x14ac:dyDescent="0.25">
      <c r="A12" s="79">
        <v>2050</v>
      </c>
      <c r="B12" s="240">
        <v>5.3654495190523503</v>
      </c>
      <c r="C12" s="240">
        <v>2.1694819870080004</v>
      </c>
      <c r="D12" s="240">
        <v>1.4201719861750002</v>
      </c>
      <c r="E12" s="240">
        <v>0.45076703432000004</v>
      </c>
      <c r="F12" s="240">
        <v>0</v>
      </c>
      <c r="G12" s="240">
        <v>12.420463246039292</v>
      </c>
      <c r="H12" s="240">
        <v>0</v>
      </c>
      <c r="I12" s="240">
        <v>0</v>
      </c>
      <c r="J12" s="240">
        <v>0</v>
      </c>
      <c r="K12" s="240">
        <v>21.826333772594644</v>
      </c>
    </row>
    <row r="13" spans="1:11" x14ac:dyDescent="0.25">
      <c r="A13" s="78" t="s">
        <v>296</v>
      </c>
      <c r="B13" s="240">
        <v>57.259647697973008</v>
      </c>
      <c r="C13" s="240">
        <v>0</v>
      </c>
      <c r="D13" s="240">
        <v>38.057196663907874</v>
      </c>
      <c r="E13" s="240">
        <v>71.363299456137355</v>
      </c>
      <c r="F13" s="240">
        <v>0.38057993875000012</v>
      </c>
      <c r="G13" s="240">
        <v>5.2572916901043492</v>
      </c>
      <c r="H13" s="240">
        <v>19.635545406488042</v>
      </c>
      <c r="I13" s="240">
        <v>134.12176978623643</v>
      </c>
      <c r="J13" s="240">
        <v>0</v>
      </c>
      <c r="K13" s="240">
        <v>326.07533063959704</v>
      </c>
    </row>
    <row r="14" spans="1:11" x14ac:dyDescent="0.25">
      <c r="A14" s="78" t="s">
        <v>248</v>
      </c>
      <c r="B14" s="240">
        <v>18.147608863995877</v>
      </c>
      <c r="C14" s="240">
        <v>6.5084459610240017</v>
      </c>
      <c r="D14" s="240">
        <v>4.2605159585250005</v>
      </c>
      <c r="E14" s="240">
        <v>1.3523011029600001</v>
      </c>
      <c r="F14" s="240">
        <v>0</v>
      </c>
      <c r="G14" s="240">
        <v>30.048182716378705</v>
      </c>
      <c r="H14" s="240">
        <v>0</v>
      </c>
      <c r="I14" s="240">
        <v>0</v>
      </c>
      <c r="J14" s="240">
        <v>0</v>
      </c>
      <c r="K14" s="240">
        <v>60.317054602883587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1140745.9345080981</v>
      </c>
      <c r="C4" s="241">
        <v>128467.8</v>
      </c>
      <c r="D4" s="241">
        <v>2348840.8844847302</v>
      </c>
      <c r="E4" s="241">
        <v>2349166.8466086611</v>
      </c>
      <c r="F4" s="241">
        <v>24394.90109435247</v>
      </c>
      <c r="G4" s="241">
        <v>2078868.7997796992</v>
      </c>
      <c r="H4" s="241">
        <v>1498974.2460576054</v>
      </c>
      <c r="I4" s="241">
        <v>9569459.4125331454</v>
      </c>
    </row>
    <row r="5" spans="1:9" x14ac:dyDescent="0.25">
      <c r="A5" s="78">
        <v>2050</v>
      </c>
      <c r="B5" s="241">
        <v>1159380.5453773015</v>
      </c>
      <c r="C5" s="241">
        <v>128467.8</v>
      </c>
      <c r="D5" s="241">
        <v>2164142.1080060382</v>
      </c>
      <c r="E5" s="241">
        <v>2170312.3964539068</v>
      </c>
      <c r="F5" s="241">
        <v>39211.773905647548</v>
      </c>
      <c r="G5" s="241">
        <v>2077438.0772637753</v>
      </c>
      <c r="H5" s="241">
        <v>1366366.1366558613</v>
      </c>
      <c r="I5" s="241">
        <v>9105318.8376625311</v>
      </c>
    </row>
    <row r="6" spans="1:9" x14ac:dyDescent="0.25">
      <c r="A6" s="78" t="s">
        <v>61</v>
      </c>
      <c r="B6" s="241">
        <v>3377431.4198853993</v>
      </c>
      <c r="C6" s="241">
        <v>385403.4</v>
      </c>
      <c r="D6" s="241">
        <v>4641709.3524907678</v>
      </c>
      <c r="E6" s="241">
        <v>6194897.2337177955</v>
      </c>
      <c r="F6" s="241">
        <v>63606.675000000017</v>
      </c>
      <c r="G6" s="241">
        <v>4860322.9928768082</v>
      </c>
      <c r="H6" s="241">
        <v>4441213.8611446423</v>
      </c>
      <c r="I6" s="241">
        <v>23964584.935115412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321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13678829.326550771</v>
      </c>
      <c r="C4" s="98">
        <v>-24610.813181900667</v>
      </c>
      <c r="D4" s="98">
        <v>5507316.8818720337</v>
      </c>
      <c r="E4" s="98">
        <v>9296833.4976137169</v>
      </c>
      <c r="F4" s="98">
        <v>-673285.95920501021</v>
      </c>
      <c r="G4" s="98">
        <v>-427424.28054807242</v>
      </c>
      <c r="H4" s="98">
        <v>0</v>
      </c>
      <c r="I4" s="98">
        <v>27357658.653101537</v>
      </c>
    </row>
    <row r="5" spans="1:9" x14ac:dyDescent="0.25">
      <c r="A5" s="78">
        <v>2050</v>
      </c>
      <c r="B5" s="98">
        <v>12687016.082447957</v>
      </c>
      <c r="C5" s="98">
        <v>-40179.115818099352</v>
      </c>
      <c r="D5" s="98">
        <v>5485230.909845111</v>
      </c>
      <c r="E5" s="98">
        <v>9211339.4377100542</v>
      </c>
      <c r="F5" s="98">
        <v>-1552855.8846793412</v>
      </c>
      <c r="G5" s="98">
        <v>-416519.2646097627</v>
      </c>
      <c r="H5" s="98">
        <v>0</v>
      </c>
      <c r="I5" s="98">
        <v>25374032.164895922</v>
      </c>
    </row>
    <row r="6" spans="1:9" x14ac:dyDescent="0.25">
      <c r="A6" s="78" t="s">
        <v>61</v>
      </c>
      <c r="B6" s="98">
        <v>40883307.851374567</v>
      </c>
      <c r="C6" s="98">
        <v>-64948.366200000019</v>
      </c>
      <c r="D6" s="98">
        <v>16511809.692453861</v>
      </c>
      <c r="E6" s="98">
        <v>28233639.125057951</v>
      </c>
      <c r="F6" s="98">
        <v>-2788041.8438843517</v>
      </c>
      <c r="G6" s="98">
        <v>-1009150.7560528949</v>
      </c>
      <c r="H6" s="98">
        <v>0</v>
      </c>
      <c r="I6" s="98">
        <v>81766615.702749133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321</v>
      </c>
      <c r="E10" s="171" t="s">
        <v>321</v>
      </c>
      <c r="G10" s="171" t="s">
        <v>321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11787127.711510129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5058223.5325662289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4113293.0454159677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-528318.41235179966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-392052.52197022288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10960258.507189341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5037270.6270728866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4036132.4350935114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-1258781.6445090303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-382169.87986558012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1891701.6150406413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449093.3493058047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1240035.0657402945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-144967.5468532106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-35371.758577849541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1726757.5752586154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447960.28277222451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1231701.6161590884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-294074.24017031107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-34349.384744182549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2848752.9835421797</v>
      </c>
      <c r="C7" s="241">
        <v>783291.25515859458</v>
      </c>
      <c r="D7" s="241">
        <v>3632044.2387007745</v>
      </c>
    </row>
    <row r="8" spans="1:4" x14ac:dyDescent="0.25">
      <c r="A8" s="78">
        <v>2050</v>
      </c>
      <c r="B8" s="241">
        <v>2586246.4663030161</v>
      </c>
      <c r="C8" s="241">
        <v>712825.86568798381</v>
      </c>
      <c r="D8" s="241">
        <v>3299072.3319910001</v>
      </c>
    </row>
    <row r="9" spans="1:4" x14ac:dyDescent="0.25">
      <c r="A9" s="78" t="s">
        <v>61</v>
      </c>
      <c r="B9" s="241">
        <v>8445237.9421698824</v>
      </c>
      <c r="C9" s="241">
        <v>2323810.3257687828</v>
      </c>
      <c r="D9" s="241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2542469.9999999995</v>
      </c>
      <c r="E6" s="241">
        <v>487920</v>
      </c>
      <c r="F6" s="241">
        <v>582800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2504470</v>
      </c>
      <c r="E7" s="241">
        <v>487920</v>
      </c>
      <c r="F7" s="241">
        <v>620800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7625310</v>
      </c>
      <c r="E8" s="241">
        <v>1448760</v>
      </c>
      <c r="F8" s="241">
        <v>1765500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75894.211512917434</v>
      </c>
      <c r="C7" s="241">
        <v>5061.7462007604217</v>
      </c>
      <c r="D7" s="241">
        <v>282589.13188024791</v>
      </c>
      <c r="E7" s="241">
        <v>12639.370816764706</v>
      </c>
      <c r="F7" s="241">
        <v>18710.553661240276</v>
      </c>
      <c r="G7" s="241">
        <v>54298.35247077707</v>
      </c>
      <c r="H7" s="241">
        <v>1323109.1146040615</v>
      </c>
      <c r="I7" s="241">
        <v>177819.27950831145</v>
      </c>
      <c r="J7" s="241">
        <v>69104.195969111795</v>
      </c>
      <c r="K7" s="241">
        <v>159802.81644068591</v>
      </c>
      <c r="L7" s="241">
        <v>33795.467038967829</v>
      </c>
      <c r="M7" s="241">
        <v>214938.45789911941</v>
      </c>
      <c r="N7" s="241">
        <v>8385.8091715253049</v>
      </c>
      <c r="O7" s="241">
        <v>106321.49282550839</v>
      </c>
      <c r="P7" s="241">
        <v>2542469.9999999991</v>
      </c>
    </row>
    <row r="8" spans="1:16" x14ac:dyDescent="0.25">
      <c r="A8" s="78">
        <v>2050</v>
      </c>
      <c r="B8" s="241">
        <v>74611.772091610444</v>
      </c>
      <c r="C8" s="241">
        <v>4992.9413474389539</v>
      </c>
      <c r="D8" s="241">
        <v>278445.99362396839</v>
      </c>
      <c r="E8" s="241">
        <v>12457.143108539938</v>
      </c>
      <c r="F8" s="241">
        <v>18409.47067327406</v>
      </c>
      <c r="G8" s="241">
        <v>53367.370861566276</v>
      </c>
      <c r="H8" s="241">
        <v>1303035.234021947</v>
      </c>
      <c r="I8" s="241">
        <v>174714.53228951979</v>
      </c>
      <c r="J8" s="241">
        <v>68021.901921824086</v>
      </c>
      <c r="K8" s="241">
        <v>157421.73721827005</v>
      </c>
      <c r="L8" s="241">
        <v>33512.483920016224</v>
      </c>
      <c r="M8" s="241">
        <v>212209.58099609043</v>
      </c>
      <c r="N8" s="241">
        <v>8272.9113069354553</v>
      </c>
      <c r="O8" s="241">
        <v>104996.92661899899</v>
      </c>
      <c r="P8" s="241">
        <v>2504470</v>
      </c>
    </row>
    <row r="9" spans="1:16" x14ac:dyDescent="0.25">
      <c r="A9" s="78" t="s">
        <v>61</v>
      </c>
      <c r="B9" s="241">
        <v>227359.19647095018</v>
      </c>
      <c r="C9" s="241">
        <v>15169.468441305282</v>
      </c>
      <c r="D9" s="241">
        <v>849966.54115986428</v>
      </c>
      <c r="E9" s="241">
        <v>37848.592494132638</v>
      </c>
      <c r="F9" s="241">
        <v>56062.720801260555</v>
      </c>
      <c r="G9" s="241">
        <v>162741.24413432484</v>
      </c>
      <c r="H9" s="241">
        <v>3963965.6813090099</v>
      </c>
      <c r="I9" s="241">
        <v>532674.48768093565</v>
      </c>
      <c r="J9" s="241">
        <v>207064.73396007629</v>
      </c>
      <c r="K9" s="241">
        <v>478656.17599164927</v>
      </c>
      <c r="L9" s="241">
        <v>101274.30782270308</v>
      </c>
      <c r="M9" s="241">
        <v>648153.05397151585</v>
      </c>
      <c r="N9" s="241">
        <v>25238.347865035168</v>
      </c>
      <c r="O9" s="241">
        <v>319135.44789723627</v>
      </c>
      <c r="P9" s="241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2021-09-10T12:11:27Z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770941436290740</vt:r8>
  </property>
</Properties>
</file>