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6EB5D8E-CC4D-4E3B-BF18-892D93073DEB}" xr6:coauthVersionLast="47" xr6:coauthVersionMax="47" xr10:uidLastSave="{00000000-0000-0000-0000-000000000000}"/>
  <bookViews>
    <workbookView xWindow="-12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36" r:id="rId37"/>
    <pivotCache cacheId="241" r:id="rId38"/>
    <pivotCache cacheId="246" r:id="rId39"/>
    <pivotCache cacheId="252" r:id="rId40"/>
    <pivotCache cacheId="257" r:id="rId41"/>
    <pivotCache cacheId="262" r:id="rId42"/>
    <pivotCache cacheId="266" r:id="rId43"/>
    <pivotCache cacheId="271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" i="17" l="1"/>
  <c r="D33" i="17" s="1"/>
  <c r="E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D46" i="17"/>
  <c r="E46" i="17" l="1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C24" i="20" l="1"/>
  <c r="P2" i="18" s="1"/>
  <c r="F3" i="35"/>
  <c r="F87" i="35"/>
  <c r="R54" i="66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D24" i="20" l="1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D51" i="20" s="1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P23" i="18"/>
  <c r="P32" i="18"/>
  <c r="A18" i="53"/>
  <c r="C310" i="38"/>
  <c r="G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88" i="66" l="1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I175" i="35" l="1"/>
  <c r="H175" i="35"/>
  <c r="I177" i="35"/>
  <c r="H177" i="35"/>
  <c r="H181" i="35"/>
  <c r="I181" i="35"/>
  <c r="H179" i="35"/>
  <c r="I179" i="35"/>
  <c r="H182" i="35"/>
  <c r="H180" i="35"/>
  <c r="I180" i="35"/>
  <c r="J109" i="58" s="1"/>
  <c r="I182" i="35"/>
  <c r="H178" i="35"/>
  <c r="H176" i="35"/>
  <c r="I176" i="35"/>
  <c r="I178" i="35"/>
  <c r="I171" i="35"/>
  <c r="H171" i="35"/>
  <c r="I173" i="35"/>
  <c r="H173" i="35"/>
  <c r="H172" i="35"/>
  <c r="I172" i="35"/>
  <c r="H174" i="35"/>
  <c r="I82" i="58" s="1"/>
  <c r="I174" i="35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81" i="58" l="1"/>
  <c r="I85" i="58"/>
  <c r="J108" i="58"/>
  <c r="J111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410" i="37"/>
  <c r="J411" i="37"/>
  <c r="J74" i="41"/>
  <c r="J408" i="37"/>
  <c r="J409" i="37"/>
  <c r="S223" i="66" l="1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P47" i="66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R175" i="66"/>
  <c r="S175" i="66"/>
  <c r="P175" i="66"/>
  <c r="E16" i="39" l="1"/>
  <c r="J249" i="66"/>
  <c r="J201" i="66"/>
  <c r="D16" i="39"/>
  <c r="B7" i="39"/>
  <c r="H456" i="37" s="1"/>
  <c r="H406" i="41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J140" i="66"/>
  <c r="N140" i="66" s="1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Q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O20" i="20" s="1"/>
  <c r="F19" i="20"/>
  <c r="I19" i="20"/>
  <c r="R19" i="20"/>
  <c r="F18" i="20"/>
  <c r="O18" i="20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G16" i="18" l="1" a="1"/>
  <c r="G16" i="18" s="1"/>
  <c r="H48" i="35" a="1"/>
  <c r="H48" i="35" s="1"/>
  <c r="I288" i="18"/>
  <c r="J288" i="18" s="1"/>
  <c r="G58" i="18" a="1"/>
  <c r="G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J328" i="18"/>
  <c r="F323" i="18"/>
  <c r="H58" i="18"/>
  <c r="I58" i="18"/>
  <c r="J335" i="18"/>
  <c r="F335" i="18"/>
  <c r="F280" i="18"/>
  <c r="F279" i="18"/>
  <c r="F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7" i="18" l="1"/>
  <c r="I18" i="18"/>
  <c r="J18" i="18" s="1"/>
  <c r="I71" i="18"/>
  <c r="J71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J24" i="18" l="1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J66" i="58" s="1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54" i="58"/>
  <c r="I42" i="37"/>
  <c r="H21" i="37"/>
  <c r="J71" i="58"/>
  <c r="J71" i="37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I58" i="37"/>
  <c r="I58" i="58"/>
  <c r="H58" i="37"/>
  <c r="H58" i="58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I70" i="58"/>
  <c r="I22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G12" i="39" l="1"/>
  <c r="H40" i="58"/>
  <c r="H35" i="37"/>
  <c r="H22" i="37"/>
  <c r="J46" i="58"/>
  <c r="H45" i="37"/>
  <c r="H45" i="58"/>
  <c r="I35" i="37"/>
  <c r="I66" i="58"/>
  <c r="J34" i="37"/>
  <c r="H69" i="58"/>
  <c r="H40" i="37"/>
  <c r="J73" i="37"/>
  <c r="J67" i="58"/>
  <c r="I70" i="37"/>
  <c r="G13" i="39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I22" i="41" s="1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H40" i="41" l="1"/>
  <c r="G27" i="39"/>
  <c r="H33" i="41"/>
  <c r="N59" i="66"/>
  <c r="H28" i="4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Q155" i="66"/>
  <c r="Q171" i="66"/>
  <c r="Q27" i="66"/>
  <c r="Q11" i="66"/>
  <c r="Q9" i="66"/>
  <c r="Q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N209" i="66" l="1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Q237" i="66" l="1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Y52" i="66" l="1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E322" i="38"/>
  <c r="M226" i="66" s="1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S256" i="66"/>
  <c r="Z183" i="66"/>
  <c r="Y39" i="66"/>
  <c r="Y183" i="66"/>
  <c r="Z39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R160" i="66"/>
  <c r="S160" i="66"/>
  <c r="P160" i="66"/>
  <c r="N208" i="66"/>
  <c r="P265" i="66"/>
  <c r="S265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H433" i="41" l="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308" i="38" s="1"/>
  <c r="E415" i="38"/>
  <c r="L276" i="66" s="1"/>
  <c r="P276" i="66" s="1"/>
  <c r="P269" i="66"/>
  <c r="S269" i="66"/>
  <c r="H435" i="41"/>
  <c r="P173" i="66"/>
  <c r="S173" i="66"/>
  <c r="P121" i="66"/>
  <c r="E413" i="38"/>
  <c r="S121" i="66"/>
  <c r="C38" i="63"/>
  <c r="C29" i="63"/>
  <c r="E321" i="38"/>
  <c r="M232" i="66" s="1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E320" i="38" s="1"/>
  <c r="M211" i="66" s="1"/>
  <c r="Z160" i="66"/>
  <c r="Y281" i="66"/>
  <c r="Q160" i="66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P73" i="66"/>
  <c r="N73" i="66"/>
  <c r="O221" i="66"/>
  <c r="L275" i="66"/>
  <c r="P275" i="66" s="1"/>
  <c r="E407" i="38"/>
  <c r="F84" i="66"/>
  <c r="I474" i="41"/>
  <c r="L97" i="66"/>
  <c r="O16" i="66"/>
  <c r="F131" i="66"/>
  <c r="E408" i="38"/>
  <c r="J475" i="41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S259" i="66"/>
  <c r="G8" i="53"/>
  <c r="E405" i="38"/>
  <c r="F36" i="66"/>
  <c r="H474" i="41"/>
  <c r="N89" i="66"/>
  <c r="S89" i="66"/>
  <c r="P89" i="66"/>
  <c r="E339" i="38"/>
  <c r="E345" i="38"/>
  <c r="M280" i="66" s="1"/>
  <c r="Z16" i="66"/>
  <c r="L274" i="66"/>
  <c r="E303" i="38"/>
  <c r="E309" i="38"/>
  <c r="O248" i="66"/>
  <c r="S115" i="66"/>
  <c r="P193" i="66"/>
  <c r="R193" i="66"/>
  <c r="T193" i="66" s="1"/>
  <c r="N193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L241" i="66"/>
  <c r="Y160" i="66"/>
  <c r="H32" i="53"/>
  <c r="G32" i="53" s="1"/>
  <c r="G26" i="53"/>
  <c r="L178" i="66"/>
  <c r="M34" i="66"/>
  <c r="B19" i="8"/>
  <c r="S211" i="66"/>
  <c r="L232" i="66"/>
  <c r="C10" i="63"/>
  <c r="H473" i="41"/>
  <c r="C2" i="63"/>
  <c r="P226" i="66"/>
  <c r="N226" i="66"/>
  <c r="Q281" i="66"/>
  <c r="R281" i="66" s="1"/>
  <c r="T281" i="66" s="1"/>
  <c r="M130" i="66"/>
  <c r="D19" i="8"/>
  <c r="L180" i="66"/>
  <c r="N180" i="66" s="1"/>
  <c r="J29" i="39"/>
  <c r="J433" i="41"/>
  <c r="L289" i="66"/>
  <c r="P25" i="66"/>
  <c r="R25" i="66"/>
  <c r="S25" i="66"/>
  <c r="N25" i="66"/>
  <c r="E327" i="38"/>
  <c r="E333" i="38"/>
  <c r="P49" i="66"/>
  <c r="R49" i="66"/>
  <c r="T49" i="66" s="1"/>
  <c r="N49" i="66"/>
  <c r="E404" i="38"/>
  <c r="F35" i="66"/>
  <c r="L130" i="66"/>
  <c r="L29" i="39"/>
  <c r="E279" i="38"/>
  <c r="E285" i="38"/>
  <c r="Z137" i="66"/>
  <c r="Z56" i="66"/>
  <c r="Z200" i="66"/>
  <c r="O56" i="66"/>
  <c r="Y56" i="66"/>
  <c r="Y200" i="66"/>
  <c r="E302" i="38" l="1"/>
  <c r="Y125" i="66"/>
  <c r="Z121" i="66"/>
  <c r="O121" i="66"/>
  <c r="Q121" i="66" s="1"/>
  <c r="R121" i="66" s="1"/>
  <c r="Y121" i="66"/>
  <c r="Z265" i="66"/>
  <c r="Y265" i="66"/>
  <c r="E278" i="38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E314" i="38"/>
  <c r="L228" i="66"/>
  <c r="P228" i="66" s="1"/>
  <c r="Q41" i="66"/>
  <c r="Z256" i="66"/>
  <c r="Z112" i="66"/>
  <c r="T121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O193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M19" i="66"/>
  <c r="R34" i="66"/>
  <c r="T34" i="66" s="1"/>
  <c r="P34" i="66"/>
  <c r="N34" i="66"/>
  <c r="M40" i="66"/>
  <c r="B18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P97" i="66"/>
  <c r="N97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L67" i="66"/>
  <c r="L136" i="66"/>
  <c r="P289" i="66"/>
  <c r="N289" i="66"/>
  <c r="P274" i="66"/>
  <c r="N274" i="66"/>
  <c r="E296" i="38"/>
  <c r="M163" i="66" s="1"/>
  <c r="E290" i="38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N228" i="66" l="1"/>
  <c r="Q217" i="66"/>
  <c r="R217" i="66" s="1"/>
  <c r="T217" i="66" s="1"/>
  <c r="O274" i="66"/>
  <c r="Q274" i="66" s="1"/>
  <c r="R274" i="66" s="1"/>
  <c r="T274" i="66" s="1"/>
  <c r="L211" i="66"/>
  <c r="P211" i="66" s="1"/>
  <c r="O289" i="66"/>
  <c r="O178" i="66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7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Q49" i="66"/>
  <c r="N19" i="66"/>
  <c r="P19" i="66"/>
  <c r="R19" i="66"/>
  <c r="T19" i="66" s="1"/>
  <c r="N211" i="66" l="1"/>
  <c r="Q289" i="66"/>
  <c r="R289" i="66" s="1"/>
  <c r="T289" i="66" s="1"/>
  <c r="O211" i="66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Q241" i="66"/>
  <c r="R241" i="66" s="1"/>
  <c r="T241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45" i="66"/>
  <c r="R145" i="66" s="1"/>
  <c r="T145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Y19" i="66"/>
  <c r="O259" i="66"/>
  <c r="Q163" i="66"/>
  <c r="Q67" i="66"/>
  <c r="R67" i="66" s="1"/>
  <c r="T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E46" i="39" s="1"/>
  <c r="E125" i="38" s="1"/>
  <c r="F118" i="66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S214" i="66"/>
  <c r="P262" i="66"/>
  <c r="S262" i="66"/>
  <c r="H460" i="37"/>
  <c r="H460" i="58"/>
  <c r="I460" i="58"/>
  <c r="I460" i="37"/>
  <c r="J5" i="58"/>
  <c r="J5" i="37"/>
  <c r="H5" i="37"/>
  <c r="H5" i="58"/>
  <c r="N262" i="66"/>
  <c r="O262" i="66" s="1"/>
  <c r="R166" i="66"/>
  <c r="S166" i="66"/>
  <c r="P166" i="66"/>
  <c r="S22" i="66"/>
  <c r="R22" i="66"/>
  <c r="P22" i="66"/>
  <c r="I5" i="37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J460" i="41" l="1"/>
  <c r="I460" i="41"/>
  <c r="T166" i="66"/>
  <c r="I461" i="41"/>
  <c r="H460" i="41"/>
  <c r="Q262" i="66"/>
  <c r="R262" i="66" s="1"/>
  <c r="T262" i="66" s="1"/>
  <c r="Q214" i="66"/>
  <c r="R214" i="66" s="1"/>
  <c r="T214" i="66" s="1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Q22" i="66"/>
  <c r="Y118" i="66"/>
  <c r="H462" i="37"/>
  <c r="H462" i="58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Q118" i="66"/>
  <c r="R118" i="66" s="1"/>
  <c r="T118" i="66" s="1"/>
  <c r="H459" i="41"/>
  <c r="H462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S116" i="66" l="1"/>
  <c r="G18" i="53"/>
  <c r="E312" i="38" s="1"/>
  <c r="S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V193" i="66"/>
  <c r="V49" i="66"/>
  <c r="U193" i="66"/>
  <c r="U49" i="66"/>
  <c r="V289" i="66"/>
  <c r="U241" i="66"/>
  <c r="V97" i="66"/>
  <c r="V241" i="66"/>
  <c r="U97" i="66"/>
  <c r="V145" i="66"/>
  <c r="U289" i="66"/>
  <c r="U145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X226" i="66" s="1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X123" i="66" s="1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X196" i="66" s="1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X22" i="66" s="1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X260" i="66" s="1"/>
  <c r="V116" i="66"/>
  <c r="U116" i="66"/>
  <c r="V212" i="66"/>
  <c r="U164" i="66"/>
  <c r="U68" i="66"/>
  <c r="U20" i="66"/>
  <c r="V68" i="66"/>
  <c r="X68" i="66" s="1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X284" i="66" s="1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X211" i="66" s="1"/>
  <c r="U163" i="66"/>
  <c r="U67" i="66"/>
  <c r="V67" i="66"/>
  <c r="V259" i="66"/>
  <c r="V115" i="66"/>
  <c r="U259" i="66"/>
  <c r="U115" i="66"/>
  <c r="U19" i="66"/>
  <c r="X217" i="66" l="1"/>
  <c r="X160" i="66"/>
  <c r="X29" i="66"/>
  <c r="X104" i="66"/>
  <c r="X105" i="66"/>
  <c r="X287" i="66"/>
  <c r="X89" i="66"/>
  <c r="X39" i="66"/>
  <c r="X255" i="66"/>
  <c r="X241" i="66"/>
  <c r="X107" i="66"/>
  <c r="X265" i="66"/>
  <c r="X231" i="66"/>
  <c r="X236" i="66"/>
  <c r="X285" i="66"/>
  <c r="X31" i="66"/>
  <c r="X127" i="66"/>
  <c r="X278" i="66"/>
  <c r="X289" i="66"/>
  <c r="X125" i="66"/>
  <c r="X27" i="66"/>
  <c r="X118" i="66"/>
  <c r="X120" i="66"/>
  <c r="X52" i="66"/>
  <c r="X82" i="66"/>
  <c r="X256" i="66"/>
  <c r="X271" i="66"/>
  <c r="X230" i="66"/>
  <c r="X49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93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145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X97" i="66"/>
  <c r="I4" i="37" l="1"/>
  <c r="I4" i="58"/>
  <c r="J4" i="37"/>
  <c r="J4" i="58"/>
  <c r="H4" i="58" l="1"/>
  <c r="H4" i="37"/>
  <c r="M45" i="39"/>
  <c r="E37" i="53"/>
  <c r="O4" i="58"/>
  <c r="F245" i="66"/>
  <c r="F101" i="66"/>
  <c r="E31" i="53"/>
  <c r="J4" i="41"/>
  <c r="E45" i="39" s="1"/>
  <c r="N4" i="58"/>
  <c r="E25" i="53"/>
  <c r="F197" i="66"/>
  <c r="E19" i="53"/>
  <c r="F53" i="66"/>
  <c r="I4" i="41"/>
  <c r="D45" i="39" s="1"/>
  <c r="E107" i="38" l="1"/>
  <c r="D59" i="39"/>
  <c r="D60" i="39" s="1"/>
  <c r="D56" i="39"/>
  <c r="E59" i="39"/>
  <c r="E60" i="39" s="1"/>
  <c r="E56" i="39"/>
  <c r="E124" i="38"/>
  <c r="M56" i="39"/>
  <c r="M59" i="39"/>
  <c r="M60" i="39" s="1"/>
  <c r="E175" i="38"/>
  <c r="F5" i="66"/>
  <c r="E7" i="53"/>
  <c r="H4" i="41"/>
  <c r="K45" i="39" s="1"/>
  <c r="C45" i="39"/>
  <c r="L45" i="39"/>
  <c r="E13" i="53"/>
  <c r="M4" i="58"/>
  <c r="F149" i="66"/>
  <c r="J452" i="58" l="1"/>
  <c r="D37" i="53"/>
  <c r="F37" i="53" s="1"/>
  <c r="J245" i="66"/>
  <c r="J444" i="58"/>
  <c r="D19" i="53"/>
  <c r="F19" i="53" s="1"/>
  <c r="H25" i="53" s="1"/>
  <c r="I452" i="37"/>
  <c r="I444" i="37"/>
  <c r="J53" i="66"/>
  <c r="M57" i="39"/>
  <c r="M58" i="39"/>
  <c r="D57" i="39"/>
  <c r="D58" i="39"/>
  <c r="D31" i="53"/>
  <c r="F31" i="53" s="1"/>
  <c r="H37" i="53" s="1"/>
  <c r="J101" i="66"/>
  <c r="J452" i="37"/>
  <c r="J444" i="37"/>
  <c r="E58" i="39"/>
  <c r="E57" i="39"/>
  <c r="C59" i="39"/>
  <c r="C60" i="39" s="1"/>
  <c r="E90" i="38"/>
  <c r="C56" i="39"/>
  <c r="L59" i="39"/>
  <c r="L60" i="39" s="1"/>
  <c r="L56" i="39"/>
  <c r="E158" i="38"/>
  <c r="K56" i="39"/>
  <c r="K59" i="39"/>
  <c r="K60" i="39" s="1"/>
  <c r="E141" i="38"/>
  <c r="G37" i="53" l="1"/>
  <c r="H31" i="53"/>
  <c r="G31" i="53" s="1"/>
  <c r="J197" i="66"/>
  <c r="D25" i="53"/>
  <c r="F25" i="53" s="1"/>
  <c r="I444" i="58"/>
  <c r="I444" i="41" s="1"/>
  <c r="I452" i="58"/>
  <c r="F103" i="66"/>
  <c r="J452" i="41"/>
  <c r="J457" i="37"/>
  <c r="C58" i="39"/>
  <c r="C57" i="39"/>
  <c r="H452" i="37"/>
  <c r="H444" i="37"/>
  <c r="J5" i="66"/>
  <c r="D7" i="53"/>
  <c r="F7" i="53" s="1"/>
  <c r="W53" i="66"/>
  <c r="S53" i="66"/>
  <c r="I467" i="37"/>
  <c r="F54" i="66"/>
  <c r="F102" i="66"/>
  <c r="J467" i="37"/>
  <c r="J444" i="41"/>
  <c r="I457" i="37"/>
  <c r="F55" i="66"/>
  <c r="F246" i="66"/>
  <c r="J467" i="58"/>
  <c r="S245" i="66"/>
  <c r="W245" i="66"/>
  <c r="W101" i="66"/>
  <c r="S101" i="66"/>
  <c r="K57" i="39"/>
  <c r="K58" i="39"/>
  <c r="D13" i="53"/>
  <c r="F13" i="53" s="1"/>
  <c r="H7" i="53" s="1"/>
  <c r="H452" i="58"/>
  <c r="J149" i="66"/>
  <c r="H444" i="58"/>
  <c r="J457" i="58"/>
  <c r="F247" i="66"/>
  <c r="L57" i="39"/>
  <c r="L58" i="39"/>
  <c r="J467" i="41" l="1"/>
  <c r="O3" i="41" s="1"/>
  <c r="H452" i="41"/>
  <c r="H457" i="37"/>
  <c r="F7" i="66"/>
  <c r="L54" i="66"/>
  <c r="P54" i="66" s="1"/>
  <c r="E366" i="38"/>
  <c r="K103" i="66" s="1"/>
  <c r="N103" i="66" s="1"/>
  <c r="J457" i="41"/>
  <c r="J458" i="37"/>
  <c r="L102" i="66"/>
  <c r="P102" i="66" s="1"/>
  <c r="N102" i="66"/>
  <c r="J458" i="58"/>
  <c r="E385" i="38" s="1"/>
  <c r="K266" i="66" s="1"/>
  <c r="N266" i="66" s="1"/>
  <c r="E384" i="38"/>
  <c r="K247" i="66" s="1"/>
  <c r="N247" i="66" s="1"/>
  <c r="F150" i="66"/>
  <c r="H467" i="58"/>
  <c r="S149" i="66"/>
  <c r="W149" i="66"/>
  <c r="I457" i="58"/>
  <c r="I457" i="41" s="1"/>
  <c r="F199" i="66"/>
  <c r="L246" i="66"/>
  <c r="P246" i="66" s="1"/>
  <c r="F198" i="66"/>
  <c r="I467" i="58"/>
  <c r="I467" i="41" s="1"/>
  <c r="H19" i="53"/>
  <c r="G19" i="53" s="1"/>
  <c r="G25" i="53"/>
  <c r="I452" i="41"/>
  <c r="W197" i="66"/>
  <c r="S197" i="66"/>
  <c r="H457" i="58"/>
  <c r="F151" i="66"/>
  <c r="W5" i="66"/>
  <c r="S5" i="66"/>
  <c r="E337" i="38"/>
  <c r="E331" i="38"/>
  <c r="G7" i="53"/>
  <c r="H13" i="53"/>
  <c r="G13" i="53" s="1"/>
  <c r="I458" i="37"/>
  <c r="E360" i="38"/>
  <c r="K55" i="66" s="1"/>
  <c r="N55" i="66" s="1"/>
  <c r="H467" i="37"/>
  <c r="H467" i="41" s="1"/>
  <c r="M3" i="41" s="1"/>
  <c r="F6" i="66"/>
  <c r="H444" i="41"/>
  <c r="E349" i="38"/>
  <c r="M245" i="66" s="1"/>
  <c r="E343" i="38"/>
  <c r="N54" i="66" l="1"/>
  <c r="N246" i="66"/>
  <c r="O246" i="66" s="1"/>
  <c r="Q246" i="66" s="1"/>
  <c r="Z102" i="66"/>
  <c r="Z246" i="66"/>
  <c r="Y102" i="66"/>
  <c r="O102" i="66"/>
  <c r="Y246" i="66"/>
  <c r="J458" i="41"/>
  <c r="E367" i="38"/>
  <c r="K122" i="66" s="1"/>
  <c r="N122" i="66" s="1"/>
  <c r="L6" i="66"/>
  <c r="P6" i="66" s="1"/>
  <c r="V6" i="66" s="1"/>
  <c r="X6" i="66" s="1"/>
  <c r="E361" i="38"/>
  <c r="K74" i="66" s="1"/>
  <c r="N74" i="66" s="1"/>
  <c r="E378" i="38"/>
  <c r="K199" i="66" s="1"/>
  <c r="N199" i="66" s="1"/>
  <c r="Z55" i="66" s="1"/>
  <c r="I458" i="58"/>
  <c r="E379" i="38" s="1"/>
  <c r="K218" i="66" s="1"/>
  <c r="N218" i="66" s="1"/>
  <c r="E301" i="38"/>
  <c r="M149" i="66" s="1"/>
  <c r="E295" i="38"/>
  <c r="E289" i="38"/>
  <c r="E283" i="38"/>
  <c r="Y247" i="66"/>
  <c r="Z247" i="66"/>
  <c r="Y103" i="66"/>
  <c r="Z103" i="66"/>
  <c r="L101" i="66"/>
  <c r="J464" i="37"/>
  <c r="D22" i="8"/>
  <c r="M101" i="66"/>
  <c r="G18" i="39" s="1"/>
  <c r="E372" i="38"/>
  <c r="K151" i="66" s="1"/>
  <c r="N151" i="66" s="1"/>
  <c r="H458" i="58"/>
  <c r="E373" i="38" s="1"/>
  <c r="K170" i="66" s="1"/>
  <c r="N170" i="66" s="1"/>
  <c r="L245" i="66"/>
  <c r="J464" i="58"/>
  <c r="E319" i="38"/>
  <c r="E325" i="38"/>
  <c r="M197" i="66" s="1"/>
  <c r="E307" i="38"/>
  <c r="E313" i="38"/>
  <c r="H458" i="37"/>
  <c r="H457" i="41"/>
  <c r="E354" i="38"/>
  <c r="K7" i="66" s="1"/>
  <c r="N7" i="66" s="1"/>
  <c r="L198" i="66"/>
  <c r="P198" i="66" s="1"/>
  <c r="N198" i="66"/>
  <c r="O198" i="66" s="1"/>
  <c r="L150" i="66"/>
  <c r="P150" i="66" s="1"/>
  <c r="V150" i="66" s="1"/>
  <c r="X150" i="66" s="1"/>
  <c r="Z199" i="66" l="1"/>
  <c r="Y199" i="66"/>
  <c r="N150" i="66"/>
  <c r="Z198" i="66"/>
  <c r="O54" i="66"/>
  <c r="V54" i="66" s="1"/>
  <c r="X54" i="66" s="1"/>
  <c r="U246" i="66"/>
  <c r="V246" i="66"/>
  <c r="X246" i="66" s="1"/>
  <c r="P245" i="66"/>
  <c r="N245" i="66"/>
  <c r="Z7" i="66"/>
  <c r="Y7" i="66"/>
  <c r="Y151" i="66"/>
  <c r="Z151" i="66"/>
  <c r="Z54" i="66"/>
  <c r="N6" i="66"/>
  <c r="V198" i="66"/>
  <c r="X198" i="66" s="1"/>
  <c r="U198" i="66"/>
  <c r="Q198" i="66"/>
  <c r="Y266" i="66"/>
  <c r="Z122" i="66"/>
  <c r="Y122" i="66"/>
  <c r="Z266" i="66"/>
  <c r="O150" i="66"/>
  <c r="Y54" i="66"/>
  <c r="M53" i="66"/>
  <c r="F18" i="39" s="1"/>
  <c r="C22" i="8"/>
  <c r="Y198" i="66"/>
  <c r="L5" i="66"/>
  <c r="H464" i="37"/>
  <c r="B22" i="8"/>
  <c r="M5" i="66"/>
  <c r="U102" i="66"/>
  <c r="Q102" i="66"/>
  <c r="V102" i="66"/>
  <c r="X102" i="66" s="1"/>
  <c r="H458" i="41"/>
  <c r="E355" i="38"/>
  <c r="K26" i="66" s="1"/>
  <c r="N26" i="66" s="1"/>
  <c r="L53" i="66"/>
  <c r="I464" i="37"/>
  <c r="L197" i="66"/>
  <c r="I464" i="58"/>
  <c r="J464" i="41"/>
  <c r="H464" i="58"/>
  <c r="L149" i="66"/>
  <c r="P101" i="66"/>
  <c r="N101" i="66"/>
  <c r="Y55" i="66"/>
  <c r="I458" i="41"/>
  <c r="Y218" i="66"/>
  <c r="Z218" i="66"/>
  <c r="Y74" i="66"/>
  <c r="Z74" i="66"/>
  <c r="U54" i="66" l="1"/>
  <c r="Q54" i="66"/>
  <c r="P5" i="66"/>
  <c r="V5" i="66" s="1"/>
  <c r="X5" i="66" s="1"/>
  <c r="R5" i="66"/>
  <c r="T5" i="66" s="1"/>
  <c r="N5" i="66"/>
  <c r="I464" i="41"/>
  <c r="Y170" i="66"/>
  <c r="Z170" i="66"/>
  <c r="Y26" i="66"/>
  <c r="Z26" i="66"/>
  <c r="O6" i="66"/>
  <c r="Y6" i="66"/>
  <c r="Z6" i="66"/>
  <c r="Z150" i="66"/>
  <c r="Y150" i="66"/>
  <c r="N53" i="66"/>
  <c r="P53" i="66"/>
  <c r="Z101" i="66"/>
  <c r="Y245" i="66"/>
  <c r="O101" i="66"/>
  <c r="Z245" i="66"/>
  <c r="Y101" i="66"/>
  <c r="P197" i="66"/>
  <c r="N197" i="66"/>
  <c r="O197" i="66" s="1"/>
  <c r="U150" i="66"/>
  <c r="Q150" i="66"/>
  <c r="P149" i="66"/>
  <c r="V149" i="66" s="1"/>
  <c r="X149" i="66" s="1"/>
  <c r="R149" i="66"/>
  <c r="T149" i="66" s="1"/>
  <c r="N149" i="66"/>
  <c r="O149" i="66" s="1"/>
  <c r="O245" i="66"/>
  <c r="H464" i="41"/>
  <c r="V101" i="66" l="1"/>
  <c r="X101" i="66" s="1"/>
  <c r="U101" i="66"/>
  <c r="Q101" i="66"/>
  <c r="R101" i="66" s="1"/>
  <c r="T101" i="66" s="1"/>
  <c r="Q197" i="66"/>
  <c r="R197" i="66" s="1"/>
  <c r="T197" i="66" s="1"/>
  <c r="V197" i="66"/>
  <c r="X197" i="66" s="1"/>
  <c r="U197" i="66"/>
  <c r="Q6" i="66"/>
  <c r="U6" i="66"/>
  <c r="Q149" i="66"/>
  <c r="U149" i="66"/>
  <c r="Z149" i="66"/>
  <c r="O5" i="66"/>
  <c r="Y5" i="66"/>
  <c r="Z5" i="66"/>
  <c r="Y149" i="66"/>
  <c r="Y53" i="66"/>
  <c r="O53" i="66"/>
  <c r="Z53" i="66"/>
  <c r="Z197" i="66"/>
  <c r="Y197" i="66"/>
  <c r="V245" i="66"/>
  <c r="X245" i="66" s="1"/>
  <c r="U245" i="66"/>
  <c r="Q245" i="66"/>
  <c r="R245" i="66" s="1"/>
  <c r="T245" i="66" s="1"/>
  <c r="U5" i="66" l="1"/>
  <c r="Q5" i="66"/>
  <c r="U53" i="66"/>
  <c r="V53" i="66"/>
  <c r="X53" i="66" s="1"/>
  <c r="Q53" i="66"/>
  <c r="R53" i="66" s="1"/>
  <c r="T53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<sst xmlns="http://schemas.openxmlformats.org/spreadsheetml/2006/main" count="4029" uniqueCount="339">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</sst>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12662850.806285977</c:v>
                </c:pt>
                <c:pt idx="2">
                  <c:v>11673273.753400896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2.0687027810954168</c:v>
                </c:pt>
                <c:pt idx="2">
                  <c:v>2.1371305709880617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1663095.0398237593</c:v>
                </c:pt>
                <c:pt idx="2">
                  <c:v>1661950.46181102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3362.8500000000004</c:v>
                </c:pt>
                <c:pt idx="16">
                  <c:v>2738.7153555257819</c:v>
                </c:pt>
                <c:pt idx="17">
                  <c:v>2828.2708362977232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6423924.8458333323</c:v>
                </c:pt>
                <c:pt idx="16">
                  <c:v>1768879.5644450537</c:v>
                </c:pt>
                <c:pt idx="17">
                  <c:v>1735079.6020607101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1250598.08486075</c:v>
                </c:pt>
                <c:pt idx="17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1250598.08486075</c:v>
                </c:pt>
                <c:pt idx="2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901127.32528332912</c:v>
                </c:pt>
                <c:pt idx="2">
                  <c:v>883908.47652149468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878.45586875355229</c:v>
                </c:pt>
                <c:pt idx="2">
                  <c:v>907.18121164266609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-341939.42443845799</c:v>
                </c:pt>
                <c:pt idx="2">
                  <c:v>-333215.41168781015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12662850.806285977</c:v>
                </c:pt>
                <c:pt idx="2">
                  <c:v>11673273.753400896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230377.75918826333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3617.1712242793342</c:v>
                </c:pt>
                <c:pt idx="2">
                  <c:v>3735.45204794039</c:v>
                </c:pt>
                <c:pt idx="15">
                  <c:v>3362.8500000000004</c:v>
                </c:pt>
                <c:pt idx="16">
                  <c:v>2738.7153555257819</c:v>
                </c:pt>
                <c:pt idx="17">
                  <c:v>2828.2708362977232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2142228.3524030885</c:v>
                </c:pt>
                <c:pt idx="11">
                  <c:v>2039826.6812849408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5280669.4477609023</c:v>
                </c:pt>
                <c:pt idx="5">
                  <c:v>5280669.4477609023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8455021.8174732123</c:v>
                </c:pt>
                <c:pt idx="2">
                  <c:v>8293462.2488436466</c:v>
                </c:pt>
                <c:pt idx="15">
                  <c:v>6423924.8458333323</c:v>
                </c:pt>
                <c:pt idx="16">
                  <c:v>1768879.5644450537</c:v>
                </c:pt>
                <c:pt idx="17">
                  <c:v>1735079.6020607101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755530.79558852478</c:v>
                </c:pt>
                <c:pt idx="5">
                  <c:v>755530.79558852478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7317872.3979037404</c:v>
                </c:pt>
                <c:pt idx="2">
                  <c:v>7005959.4247079371</c:v>
                </c:pt>
                <c:pt idx="15">
                  <c:v>14742130.666666664</c:v>
                </c:pt>
                <c:pt idx="16">
                  <c:v>6489434.013235392</c:v>
                </c:pt>
                <c:pt idx="17">
                  <c:v>6212831.9426655285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16819605.005375024</c:v>
                </c:pt>
                <c:pt idx="17">
                  <c:v>16405946.393493332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1108490.5539925825</c:v>
                </c:pt>
                <c:pt idx="16">
                  <c:v>1250598.08486075</c:v>
                </c:pt>
                <c:pt idx="17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1108490.5539925825</c:v>
                </c:pt>
                <c:pt idx="1">
                  <c:v>1250598.08486075</c:v>
                </c:pt>
                <c:pt idx="2">
                  <c:v>1211187.9061807538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240738.79472010836</c:v>
                </c:pt>
                <c:pt idx="2">
                  <c:v>230377.75918826333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2948279.9748971234</c:v>
                </c:pt>
                <c:pt idx="2">
                  <c:v>3088580.6906975764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7576872.8456154009</c:v>
                </c:pt>
                <c:pt idx="2">
                  <c:v>7186166.448623132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3743700.5343613457</c:v>
                </c:pt>
                <c:pt idx="2">
                  <c:v>3445654.0507503473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2961150.4845719668</c:v>
                </c:pt>
                <c:pt idx="2">
                  <c:v>2759146.6428546174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1992661.9607506471</c:v>
                </c:pt>
                <c:pt idx="2">
                  <c:v>1919162.7967223886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901127.32528332912</c:v>
                </c:pt>
                <c:pt idx="2">
                  <c:v>883908.47652149468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878.45586875355229</c:v>
                </c:pt>
                <c:pt idx="2">
                  <c:v>907.18121164266609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163796.94774542924</c:v>
                </c:pt>
                <c:pt idx="2">
                  <c:v>151799.26731689228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29.979193434395683</c:v>
                </c:pt>
                <c:pt idx="2">
                  <c:v>28.335669039324991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34.963307596754014</c:v>
                </c:pt>
                <c:pt idx="2">
                  <c:v>32.884136275413141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2.0687027810954168</c:v>
                </c:pt>
                <c:pt idx="2">
                  <c:v>2.1371305709880617</c:v>
                </c:pt>
                <c:pt idx="3">
                  <c:v>5.0922829580050024</c:v>
                </c:pt>
                <c:pt idx="4">
                  <c:v>10.028349209867528</c:v>
                </c:pt>
                <c:pt idx="5">
                  <c:v>9.9363705968314342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3537128.2942940318</c:v>
                </c:pt>
                <c:pt idx="2">
                  <c:v>3352429.5178153403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3047158.8251946424</c:v>
                </c:pt>
                <c:pt idx="2">
                  <c:v>2867722.9948248072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1663095.0398237593</c:v>
                </c:pt>
                <c:pt idx="2">
                  <c:v>1661950.46181102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16666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4170727.4363370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51388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62963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8611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497684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20833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671296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9.5919059027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36104134.2428202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893966.0004921574"/>
    </cacheField>
    <cacheField name="Gødning" numFmtId="3">
      <sharedItems containsSemiMixedTypes="0" containsString="0" containsNumber="1" minValue="0" maxValue="14170727.436337013"/>
    </cacheField>
    <cacheField name="Energi" numFmtId="3">
      <sharedItems containsSemiMixedTypes="0" containsString="0" containsNumber="1" minValue="0" maxValue="436104134.24282026"/>
    </cacheField>
    <cacheField name="Materialer og processer" numFmtId="3">
      <sharedItems containsSemiMixedTypes="0" containsString="0" containsNumber="1" minValue="0" maxValue="507790.70515370794"/>
    </cacheField>
    <cacheField name="Produktion minus forbrug [ton]" numFmtId="3">
      <sharedItems containsSemiMixedTypes="0" containsString="0" containsNumber="1" minValue="-4828427.5390456235" maxValue="6597597.615337275"/>
    </cacheField>
    <cacheField name="Potentiale til energi [ton]" numFmtId="3">
      <sharedItems containsSemiMixedTypes="0" containsString="0" containsNumber="1" minValue="0" maxValue="6597597.615337275"/>
    </cacheField>
    <cacheField name="Forbrug energi [ton/m3]" numFmtId="3">
      <sharedItems containsSemiMixedTypes="0" containsString="0" containsNumber="1" minValue="0" maxValue="436104134.24282026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3.9958466497891258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599941.41603740398"/>
    </cacheField>
    <cacheField name="Biomasser til energi eksl. biogas [Ton TS]" numFmtId="0">
      <sharedItems containsSemiMixedTypes="0" containsString="0" containsNumber="1" minValue="0" maxValue="1847327.3322944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391729.2665735735"/>
  </r>
  <r>
    <x v="1"/>
    <s v="Vestdanmark"/>
    <x v="15"/>
    <x v="1"/>
    <n v="7893966.0004921574"/>
  </r>
  <r>
    <x v="1"/>
    <s v="Vestdanmark"/>
    <x v="16"/>
    <x v="1"/>
    <n v="3337.0904542181925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3644.580306161413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6119291.7094537346"/>
  </r>
  <r>
    <x v="1"/>
    <s v="Vestdanmark"/>
    <x v="15"/>
    <x v="2"/>
    <n v="7743127.1535502924"/>
  </r>
  <r>
    <x v="1"/>
    <s v="Vestdanmark"/>
    <x v="16"/>
    <x v="2"/>
    <n v="3446.2126889929687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3363.755309158871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6143.13133016659"/>
  </r>
  <r>
    <x v="1"/>
    <s v="Østdanmark"/>
    <x v="15"/>
    <x v="1"/>
    <n v="561055.81698105508"/>
  </r>
  <r>
    <x v="1"/>
    <s v="Østdanmark"/>
    <x v="16"/>
    <x v="1"/>
    <n v="280.08077006114183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22289.419693838598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886667.7152542026"/>
  </r>
  <r>
    <x v="1"/>
    <s v="Østdanmark"/>
    <x v="15"/>
    <x v="2"/>
    <n v="550335.09529335448"/>
  </r>
  <r>
    <x v="1"/>
    <s v="Østdanmark"/>
    <x v="16"/>
    <x v="2"/>
    <n v="289.23935894742124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22570.244690841144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703372.1615964994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672934.09412450308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703372.1615964994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672934.09412450308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77297.28616440261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82596.701464021666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77297.28616440273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82596.70146402168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85491.0293729189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56737.32303016982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03036.156330572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736790.52495436871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n v="7001759.6428652545"/>
  </r>
  <r>
    <x v="5"/>
    <s v="Vestdanmark"/>
    <x v="38"/>
    <x v="0"/>
    <n v="720643.40546424"/>
  </r>
  <r>
    <x v="5"/>
    <s v="Vestdanmark"/>
    <x v="14"/>
    <x v="1"/>
    <n v="5668137.2741312822"/>
  </r>
  <r>
    <x v="5"/>
    <s v="Vestdanmark"/>
    <x v="15"/>
    <x v="1"/>
    <n v="1651500.7816819118"/>
  </r>
  <r>
    <x v="5"/>
    <s v="Vestdanmark"/>
    <x v="16"/>
    <x v="1"/>
    <n v="2526.6542010509174"/>
  </r>
  <r>
    <x v="5"/>
    <s v="Vestdanmark"/>
    <x v="20"/>
    <x v="1"/>
    <n v="401728.76679519669"/>
  </r>
  <r>
    <x v="5"/>
    <s v="Vestdanmark"/>
    <x v="37"/>
    <x v="1"/>
    <n v="14170727.436337013"/>
  </r>
  <r>
    <x v="5"/>
    <s v="Vestdanmark"/>
    <x v="38"/>
    <x v="1"/>
    <n v="851831.85374033672"/>
  </r>
  <r>
    <x v="5"/>
    <s v="Vestdanmark"/>
    <x v="14"/>
    <x v="2"/>
    <n v="5426541.7046099147"/>
  </r>
  <r>
    <x v="5"/>
    <s v="Vestdanmark"/>
    <x v="15"/>
    <x v="2"/>
    <n v="1619943.7071243373"/>
  </r>
  <r>
    <x v="5"/>
    <s v="Vestdanmark"/>
    <x v="16"/>
    <x v="2"/>
    <n v="2609.2753216661044"/>
  </r>
  <r>
    <x v="5"/>
    <s v="Vestdanmark"/>
    <x v="20"/>
    <x v="2"/>
    <n v="420665.19876426988"/>
  </r>
  <r>
    <x v="5"/>
    <s v="Vestdanmark"/>
    <x v="37"/>
    <x v="2"/>
    <n v="13769683.498114759"/>
  </r>
  <r>
    <x v="5"/>
    <s v="Vestdanmark"/>
    <x v="38"/>
    <x v="2"/>
    <n v="822588.45729733328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n v="1801732.0926432305"/>
  </r>
  <r>
    <x v="5"/>
    <s v="Østdanmark"/>
    <x v="38"/>
    <x v="0"/>
    <n v="387847.14852834243"/>
  </r>
  <r>
    <x v="5"/>
    <s v="Østdanmark"/>
    <x v="14"/>
    <x v="1"/>
    <n v="821296.73910410993"/>
  </r>
  <r>
    <x v="5"/>
    <s v="Østdanmark"/>
    <x v="15"/>
    <x v="1"/>
    <n v="117378.78276314179"/>
  </r>
  <r>
    <x v="5"/>
    <s v="Østdanmark"/>
    <x v="16"/>
    <x v="1"/>
    <n v="212.06115447486451"/>
  </r>
  <r>
    <x v="5"/>
    <s v="Østdanmark"/>
    <x v="20"/>
    <x v="1"/>
    <n v="54219.773738244621"/>
  </r>
  <r>
    <x v="5"/>
    <s v="Østdanmark"/>
    <x v="37"/>
    <x v="1"/>
    <n v="2648877.5690380111"/>
  </r>
  <r>
    <x v="5"/>
    <s v="Østdanmark"/>
    <x v="38"/>
    <x v="1"/>
    <n v="398766.23112041334"/>
  </r>
  <r>
    <x v="5"/>
    <s v="Østdanmark"/>
    <x v="14"/>
    <x v="2"/>
    <n v="786290.23805561347"/>
  </r>
  <r>
    <x v="5"/>
    <s v="Østdanmark"/>
    <x v="15"/>
    <x v="2"/>
    <n v="115135.89493637283"/>
  </r>
  <r>
    <x v="5"/>
    <s v="Østdanmark"/>
    <x v="16"/>
    <x v="2"/>
    <n v="218.99551463161893"/>
  </r>
  <r>
    <x v="5"/>
    <s v="Østdanmark"/>
    <x v="20"/>
    <x v="2"/>
    <n v="57097.370490994261"/>
  </r>
  <r>
    <x v="5"/>
    <s v="Østdanmark"/>
    <x v="37"/>
    <x v="2"/>
    <n v="2636262.8953785724"/>
  </r>
  <r>
    <x v="5"/>
    <s v="Østdanmark"/>
    <x v="38"/>
    <x v="2"/>
    <n v="388599.448883420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x v="0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x v="0"/>
  </r>
  <r>
    <x v="23"/>
    <s v="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x v="0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x v="0"/>
  </r>
  <r>
    <x v="23"/>
    <s v="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x v="0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x v="0"/>
  </r>
  <r>
    <x v="23"/>
    <s v="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x v="0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x v="0"/>
  </r>
  <r>
    <x v="23"/>
    <s v="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  <n v="0"/>
    <x v="1"/>
  </r>
  <r>
    <x v="4"/>
    <s v="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  <n v="0"/>
    <x v="0"/>
  </r>
  <r>
    <x v="23"/>
    <s v="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  <n v="0"/>
    <x v="1"/>
  </r>
  <r>
    <x v="4"/>
    <s v="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  <n v="0"/>
    <x v="0"/>
  </r>
  <r>
    <x v="23"/>
    <s v="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  <n v="0"/>
    <x v="1"/>
  </r>
  <r>
    <x v="4"/>
    <s v="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  <n v="0"/>
    <x v="0"/>
  </r>
  <r>
    <x v="23"/>
    <s v="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  <n v="0"/>
    <x v="1"/>
  </r>
  <r>
    <x v="4"/>
    <s v="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  <n v="0"/>
    <x v="0"/>
  </r>
  <r>
    <x v="23"/>
    <s v="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0853893.509390926"/>
    <s v="CO2 - atmosfære"/>
    <x v="0"/>
  </r>
  <r>
    <s v="Vestdanmark"/>
    <x v="1"/>
    <n v="4046578.8260529838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13642.01757617836"/>
    <s v="Biogasanlæg"/>
    <x v="5"/>
  </r>
  <r>
    <s v="Vestdanmark"/>
    <x v="1"/>
    <n v="0"/>
    <s v="Pyrolyseproces"/>
    <x v="6"/>
  </r>
  <r>
    <s v="Vestdanmark"/>
    <x v="2"/>
    <n v="10029238.357747888"/>
    <s v="CO2 - atmosfære"/>
    <x v="0"/>
  </r>
  <r>
    <s v="Vestdanmark"/>
    <x v="2"/>
    <n v="4029816.5016583097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05735.903892464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08957.2968950507"/>
    <s v="CO2 - atmosfære"/>
    <x v="0"/>
  </r>
  <r>
    <s v="Østdanmark"/>
    <x v="1"/>
    <n v="359274.6794446436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28297.406862279633"/>
    <s v="Biogasanlæg"/>
    <x v="5"/>
  </r>
  <r>
    <s v="Østdanmark"/>
    <x v="1"/>
    <n v="0"/>
    <s v="Pyrolyseproces"/>
    <x v="6"/>
  </r>
  <r>
    <s v="Østdanmark"/>
    <x v="2"/>
    <n v="1644035.3956530073"/>
    <s v="CO2 - atmosfære"/>
    <x v="0"/>
  </r>
  <r>
    <s v="Østdanmark"/>
    <x v="2"/>
    <n v="358368.22621777962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27479.507795346046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720643.40546424"/>
    <n v="0"/>
    <n v="0"/>
    <n v="-720643.40546424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51598.780380153592"/>
    <n v="0"/>
    <n v="0"/>
    <n v="0"/>
    <n v="0"/>
    <n v="0"/>
    <n v="0"/>
    <n v="218519.6626810932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436104134.24282026"/>
    <n v="0"/>
    <n v="0"/>
    <n v="0"/>
    <n v="0"/>
    <n v="0"/>
    <n v="436104134.24282026"/>
    <n v="0"/>
    <n v="0"/>
    <n v="0"/>
    <n v="436104134.24282026"/>
    <n v="0"/>
    <n v="0"/>
    <n v="0"/>
    <n v="0"/>
    <n v="0"/>
    <n v="0"/>
    <n v="0"/>
    <n v="0"/>
  </r>
  <r>
    <x v="4"/>
    <x v="10"/>
    <n v="0"/>
    <x v="1"/>
    <s v="Vestdanmark"/>
    <n v="16654690.164173149"/>
    <n v="0"/>
    <n v="0"/>
    <n v="0"/>
    <n v="0"/>
    <n v="14170727.436337013"/>
    <n v="0"/>
    <n v="0"/>
    <n v="2483962.7278361358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3337.0904542181925"/>
    <n v="2526.6542010509174"/>
    <n v="0"/>
    <n v="0"/>
    <n v="810.43625316727503"/>
    <n v="810.43625316727503"/>
    <n v="3337.0904542181925"/>
    <n v="3.8114006550203779E-4"/>
    <n v="1.9505403352163115E-3"/>
    <n v="1.5694002697142738E-3"/>
    <n v="3.8114006550203769E-4"/>
    <n v="51.05748394953833"/>
    <n v="261.29418256528447"/>
    <n v="210.23669861574612"/>
    <n v="51.057483949538351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9790151.9274066389"/>
    <n v="0"/>
    <n v="0"/>
    <n v="75614.059561949907"/>
    <n v="0"/>
    <n v="0"/>
    <n v="0"/>
    <n v="6597597.615337275"/>
    <n v="6597597.615337275"/>
    <n v="75614.059561949907"/>
    <n v="12.138754912518669"/>
    <n v="12.277875330355212"/>
    <n v="0.13912041783654258"/>
    <n v="12.138754912518669"/>
    <n v="1847327.3322944371"/>
    <n v="1868499.2689717831"/>
    <n v="21171.936677345977"/>
    <n v="1847327.3322944371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618468.71483434096"/>
    <n v="581579.9632190367"/>
    <n v="0"/>
    <n v="53644.580306161413"/>
    <n v="0"/>
    <n v="1385491.0293729189"/>
    <n v="0"/>
    <n v="0"/>
    <n v="0"/>
    <n v="1439135.6096790803"/>
    <n v="0"/>
    <n v="14.629456937744798"/>
    <n v="0.30928997353838589"/>
    <n v="14.320166964206413"/>
    <n v="0"/>
    <n v="1223265.2682272182"/>
    <n v="45597.893260237201"/>
    <n v="1177667.3749669809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4703372.1615964994"/>
    <n v="0"/>
    <n v="295933.04302308214"/>
    <n v="2833.9333697705197"/>
    <n v="0"/>
    <n v="0"/>
    <n v="0"/>
    <n v="2169017.6219496708"/>
    <n v="2169017.6219496708"/>
    <n v="2833.9333697705197"/>
    <n v="7.4285816927105506"/>
    <n v="7.438287517751343"/>
    <n v="9.7058250407922632E-3"/>
    <n v="7.4285816927105506"/>
    <n v="672395.46280439792"/>
    <n v="673273.98214902682"/>
    <n v="878.51934462886106"/>
    <n v="672395.46280439792"/>
  </r>
  <r>
    <x v="23"/>
    <x v="10"/>
    <n v="0"/>
    <x v="1"/>
    <s v="Vestdanmark"/>
    <n v="0"/>
    <n v="0"/>
    <n v="0"/>
    <n v="0"/>
    <n v="0"/>
    <n v="851831.85374033672"/>
    <n v="0"/>
    <n v="0"/>
    <n v="-851831.85374033672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7893966.0004921574"/>
    <n v="1651500.7816819118"/>
    <n v="0"/>
    <n v="0"/>
    <n v="841330.58689455874"/>
    <n v="841330.58689455874"/>
    <n v="7893966.0004921574"/>
    <n v="0.42587312978015673"/>
    <n v="4.4217197795692824"/>
    <n v="3.9958466497891258"/>
    <n v="0.42587312978015657"/>
    <n v="63941.124603986464"/>
    <n v="663882.54064139037"/>
    <n v="599941.41603740398"/>
    <n v="63941.124603986391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4525643.0291759707"/>
    <n v="0"/>
    <n v="0"/>
    <n v="314692.31350359169"/>
    <n v="0"/>
    <n v="0"/>
    <n v="0"/>
    <n v="3142972.4098101053"/>
    <n v="2961150.4845719668"/>
    <n v="314692.31350359169"/>
    <n v="10.630530239613362"/>
    <n v="11.760275645091257"/>
    <n v="1.1297454054778944"/>
    <n v="10.630530239613362"/>
    <n v="888345.14537159004"/>
    <n v="982752.83942266752"/>
    <n v="94407.694051077502"/>
    <n v="888345.14537159004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171279.2848730098"/>
    <n v="0"/>
    <n v="0"/>
    <n v="0"/>
    <n v="0"/>
    <n v="0"/>
    <n v="0"/>
    <n v="82616.067703844164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672934.09412450308"/>
    <n v="0"/>
    <n v="0"/>
    <n v="4075.7207832735812"/>
    <n v="0"/>
    <n v="0"/>
    <n v="0"/>
    <n v="-281910.65780216159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6391729.2665735735"/>
    <n v="5668137.2741312822"/>
    <n v="0"/>
    <n v="0"/>
    <n v="0"/>
    <n v="0"/>
    <n v="6391729.2665735735"/>
    <n v="0"/>
    <n v="2.7535569680398959"/>
    <n v="2.7535569680398959"/>
    <n v="0"/>
    <n v="0"/>
    <n v="319586.46332867868"/>
    <n v="319586.46332867868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51598.780380153592"/>
    <n v="0"/>
    <n v="0"/>
    <n v="0"/>
    <n v="0"/>
    <n v="0"/>
    <n v="0"/>
    <n v="208864.25233337711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34305248.86575383"/>
    <n v="0"/>
    <n v="0"/>
    <n v="0"/>
    <n v="0"/>
    <n v="0"/>
    <n v="434305248.86575383"/>
    <n v="0"/>
    <n v="0"/>
    <n v="0"/>
    <n v="434305248.86575383"/>
    <n v="0"/>
    <n v="0"/>
    <n v="0"/>
    <n v="0"/>
    <n v="0"/>
    <n v="0"/>
    <n v="0"/>
    <n v="0"/>
  </r>
  <r>
    <x v="4"/>
    <x v="10"/>
    <n v="0"/>
    <x v="2"/>
    <s v="Vestdanmark"/>
    <n v="16361961.782417906"/>
    <n v="0"/>
    <n v="0"/>
    <n v="0"/>
    <n v="0"/>
    <n v="13769683.498114759"/>
    <n v="0"/>
    <n v="0"/>
    <n v="2592278.284303147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3446.2126889929687"/>
    <n v="2609.2753216661044"/>
    <n v="0"/>
    <n v="0"/>
    <n v="836.93736732686375"/>
    <n v="836.93736732686375"/>
    <n v="3446.2126889929687"/>
    <n v="3.9360327448015076E-4"/>
    <n v="2.0143226399866538E-3"/>
    <n v="1.6207193655065032E-3"/>
    <n v="3.936032744801506E-4"/>
    <n v="52.727054141592419"/>
    <n v="269.83845354814946"/>
    <n v="217.11139940655701"/>
    <n v="52.727054141592447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9790151.9274066389"/>
    <n v="0"/>
    <n v="0"/>
    <n v="75527.053678542041"/>
    <n v="0"/>
    <n v="0"/>
    <n v="0"/>
    <n v="6234320.5706386827"/>
    <n v="6234320.5706386827"/>
    <n v="75527.053678542041"/>
    <n v="11.470370559903847"/>
    <n v="11.609330897790654"/>
    <n v="0.13896033788680753"/>
    <n v="11.470370559903847"/>
    <n v="1745609.7597788314"/>
    <n v="1766757.3348088232"/>
    <n v="21147.575029991774"/>
    <n v="1745609.75977883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618468.71483434096"/>
    <n v="579210.80448009283"/>
    <n v="0"/>
    <n v="53363.755309158871"/>
    <n v="0"/>
    <n v="1303036.156330572"/>
    <n v="0"/>
    <n v="0"/>
    <n v="0"/>
    <n v="1356399.9116397309"/>
    <n v="0"/>
    <n v="13.775600230507971"/>
    <n v="0.30767086578516784"/>
    <n v="13.467929364722803"/>
    <n v="0"/>
    <n v="1152939.9248937713"/>
    <n v="45359.192012785039"/>
    <n v="1107580.732880986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4703372.1615964994"/>
    <n v="0"/>
    <n v="307470.55071854044"/>
    <n v="2825.7560217041437"/>
    <n v="0"/>
    <n v="0"/>
    <n v="0"/>
    <n v="1931921.2106545279"/>
    <n v="1931921.2106545279"/>
    <n v="2825.7560217041437"/>
    <n v="6.6165596775222673"/>
    <n v="6.6262374962907611"/>
    <n v="9.6778187684936554E-3"/>
    <n v="6.6165596775222673"/>
    <n v="598895.57530290366"/>
    <n v="599771.55966963188"/>
    <n v="875.9843667282845"/>
    <n v="598895.57530290354"/>
  </r>
  <r>
    <x v="23"/>
    <x v="10"/>
    <n v="0"/>
    <x v="2"/>
    <s v="Vestdanmark"/>
    <n v="0"/>
    <n v="0"/>
    <n v="0"/>
    <n v="0"/>
    <n v="0"/>
    <n v="822588.45729733328"/>
    <n v="0"/>
    <n v="0"/>
    <n v="-822588.45729733328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7743127.1535502924"/>
    <n v="1619943.7071243373"/>
    <n v="0"/>
    <n v="0"/>
    <n v="825254.34136522934"/>
    <n v="825254.34136522934"/>
    <n v="7743127.1535502924"/>
    <n v="0.41773549505566548"/>
    <n v="4.3372290289112883"/>
    <n v="3.9194935338556229"/>
    <n v="0.41773549505566532"/>
    <n v="62719.329943757431"/>
    <n v="651196.99361357966"/>
    <n v="588477.66366982216"/>
    <n v="62719.329943757504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4525643.0291759707"/>
    <n v="0"/>
    <n v="0"/>
    <n v="314525.12457946909"/>
    <n v="0"/>
    <n v="0"/>
    <n v="0"/>
    <n v="2946382.2533553997"/>
    <n v="2759146.6428546174"/>
    <n v="314525.12457946909"/>
    <n v="9.905336447848077"/>
    <n v="11.034481645088372"/>
    <n v="1.1291451972402942"/>
    <n v="9.905336447848077"/>
    <n v="827743.99285638519"/>
    <n v="922101.530230226"/>
    <n v="94357.537373840722"/>
    <n v="827743.992856385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171279.2848730098"/>
    <n v="0"/>
    <n v="0"/>
    <n v="0"/>
    <n v="0"/>
    <n v="0"/>
    <n v="0"/>
    <n v="73240.693697966664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672934.09412450308"/>
    <n v="0"/>
    <n v="0"/>
    <n v="4034.07077562927"/>
    <n v="0"/>
    <n v="0"/>
    <n v="0"/>
    <n v="-296257.42264590901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6119291.7094537346"/>
    <n v="5426541.7046099147"/>
    <n v="0"/>
    <n v="0"/>
    <n v="0"/>
    <n v="0"/>
    <n v="6119291.7094537346"/>
    <n v="0"/>
    <n v="2.6361908684326694"/>
    <n v="2.6361908684326694"/>
    <n v="0"/>
    <n v="0"/>
    <n v="305964.58547268674"/>
    <n v="305964.58547268674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87847.14852834243"/>
    <n v="0"/>
    <n v="0"/>
    <n v="-387847.14852834243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6333.2934029920762"/>
    <n v="0"/>
    <n v="0"/>
    <n v="0"/>
    <n v="0"/>
    <n v="0"/>
    <n v="0"/>
    <n v="22219.1320390150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3250703.76009664"/>
    <n v="0"/>
    <n v="0"/>
    <n v="0"/>
    <n v="0"/>
    <n v="0"/>
    <n v="103250703.76009664"/>
    <n v="0"/>
    <n v="0"/>
    <n v="0"/>
    <n v="103250703.76009664"/>
    <n v="0"/>
    <n v="0"/>
    <n v="0"/>
    <n v="0"/>
    <n v="0"/>
    <n v="0"/>
    <n v="0"/>
    <n v="0"/>
  </r>
  <r>
    <x v="4"/>
    <x v="10"/>
    <n v="0"/>
    <x v="1"/>
    <s v="Østdanmark"/>
    <n v="3113194.8160989988"/>
    <n v="0"/>
    <n v="0"/>
    <n v="0"/>
    <n v="0"/>
    <n v="2648877.5690380111"/>
    <n v="0"/>
    <n v="0"/>
    <n v="464317.24706098763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280.08077006114183"/>
    <n v="212.06115447486451"/>
    <n v="0"/>
    <n v="0"/>
    <n v="68.019615586277325"/>
    <n v="68.019615586277325"/>
    <n v="280.08077006114183"/>
    <n v="3.1988945014070367E-5"/>
    <n v="1.6370813036612478E-4"/>
    <n v="1.317191853520544E-4"/>
    <n v="3.198894501407038E-5"/>
    <n v="4.2852357819354712"/>
    <n v="21.930324295787408"/>
    <n v="17.645088513851935"/>
    <n v="4.2852357819354729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201654.4608093714"/>
    <n v="0"/>
    <n v="0"/>
    <n v="10062.940438050116"/>
    <n v="0"/>
    <n v="0"/>
    <n v="0"/>
    <n v="979275.23027812573"/>
    <n v="979275.23027812573"/>
    <n v="10062.940438050116"/>
    <n v="1.8017440143079666"/>
    <n v="1.820258566846424"/>
    <n v="1.8514552538457459E-2"/>
    <n v="1.8017440143079666"/>
    <n v="274197.06447787525"/>
    <n v="277014.68780052924"/>
    <n v="2817.623322654033"/>
    <n v="274197.06447787519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75911.558427530035"/>
    <n v="82816.687681498166"/>
    <n v="0"/>
    <n v="22289.419693838598"/>
    <n v="0"/>
    <n v="756737.32303016982"/>
    <n v="0"/>
    <n v="0"/>
    <n v="0"/>
    <n v="779026.74272400839"/>
    <n v="0"/>
    <n v="7.9500009612564133"/>
    <n v="0.1285105408216142"/>
    <n v="7.8214904204347988"/>
    <n v="0"/>
    <n v="662172.73131540709"/>
    <n v="18946.006739762808"/>
    <n v="643226.7245756442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577297.28616440261"/>
    <n v="0"/>
    <n v="256234.83946537593"/>
    <n v="952.06663022948101"/>
    <n v="0"/>
    <n v="0"/>
    <n v="0"/>
    <n v="1574682.9124116749"/>
    <n v="1574682.9124116749"/>
    <n v="952.06663022948101"/>
    <n v="5.3930685194022496"/>
    <n v="5.3963292143214572"/>
    <n v="3.2606949192077409E-3"/>
    <n v="5.3930685194022496"/>
    <n v="488151.70284761919"/>
    <n v="488446.84350299038"/>
    <n v="295.14065537113913"/>
    <n v="488151.70284761925"/>
  </r>
  <r>
    <x v="23"/>
    <x v="10"/>
    <n v="0"/>
    <x v="1"/>
    <s v="Østdanmark"/>
    <n v="0"/>
    <n v="0"/>
    <n v="0"/>
    <n v="0"/>
    <n v="0"/>
    <n v="398766.23112041334"/>
    <n v="0"/>
    <n v="0"/>
    <n v="-398766.23112041334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561055.81698105508"/>
    <n v="117378.78276314179"/>
    <n v="0"/>
    <n v="0"/>
    <n v="59796.738388770376"/>
    <n v="59796.738388770376"/>
    <n v="561055.81698105508"/>
    <n v="3.026851100501168E-2"/>
    <n v="0.31426935500265196"/>
    <n v="0.28400084399764031"/>
    <n v="3.0268511005011656E-2"/>
    <n v="4544.5521175465483"/>
    <n v="47184.79420810673"/>
    <n v="42640.242090560183"/>
    <n v="4544.5521175465474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555482.60888742993"/>
    <n v="0"/>
    <n v="0"/>
    <n v="15333.686496408332"/>
    <n v="0"/>
    <n v="0"/>
    <n v="0"/>
    <n v="-181821.9252381384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1023.015601598698"/>
    <n v="0"/>
    <n v="0"/>
    <n v="0"/>
    <n v="0"/>
    <n v="0"/>
    <n v="0"/>
    <n v="81180.880041585086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82596.701464021666"/>
    <n v="0"/>
    <n v="0"/>
    <n v="24569.279216726416"/>
    <n v="0"/>
    <n v="0"/>
    <n v="0"/>
    <n v="2274572.6185528086"/>
    <n v="1992661.9607506471"/>
    <n v="24569.279216726416"/>
    <n v="5.4081642679556863"/>
    <n v="5.4748462745210507"/>
    <n v="6.668200656536416E-2"/>
    <n v="5.4081642679556863"/>
    <n v="398532.39215012942"/>
    <n v="403446.24799347471"/>
    <n v="4913.8558433452836"/>
    <n v="398532.39215012942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926143.13133016659"/>
    <n v="821296.73910410993"/>
    <n v="0"/>
    <n v="0"/>
    <n v="0"/>
    <n v="0"/>
    <n v="926143.13133016659"/>
    <n v="0"/>
    <n v="0.39898246097703582"/>
    <n v="0.39898246097703582"/>
    <n v="0"/>
    <n v="0"/>
    <n v="46307.156566508333"/>
    <n v="46307.156566508333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6333.293402992078"/>
    <n v="0"/>
    <n v="0"/>
    <n v="0"/>
    <n v="0"/>
    <n v="0"/>
    <n v="0"/>
    <n v="21513.506854886218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4340897.10458454"/>
    <n v="0"/>
    <n v="0"/>
    <n v="0"/>
    <n v="0"/>
    <n v="0"/>
    <n v="104340897.10458454"/>
    <n v="0"/>
    <n v="0"/>
    <n v="0"/>
    <n v="104340897.10458454"/>
    <n v="0"/>
    <n v="0"/>
    <n v="0"/>
    <n v="0"/>
    <n v="0"/>
    <n v="0"/>
    <n v="0"/>
    <n v="0"/>
  </r>
  <r>
    <x v="4"/>
    <x v="10"/>
    <n v="0"/>
    <x v="2"/>
    <s v="Østdanmark"/>
    <n v="3132565.3017730014"/>
    <n v="0"/>
    <n v="0"/>
    <n v="0"/>
    <n v="0"/>
    <n v="2636262.8953785724"/>
    <n v="0"/>
    <n v="0"/>
    <n v="496302.4063944290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289.23935894742124"/>
    <n v="218.99551463161893"/>
    <n v="0"/>
    <n v="0"/>
    <n v="70.243844315802335"/>
    <n v="70.243844315802335"/>
    <n v="289.23935894742124"/>
    <n v="3.3034977543278681E-5"/>
    <n v="1.690613556626614E-4"/>
    <n v="1.3602637811938273E-4"/>
    <n v="3.3034977543278674E-5"/>
    <n v="4.4253621918955472"/>
    <n v="22.647441805583085"/>
    <n v="18.222079613687537"/>
    <n v="4.4253621918955481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201654.4608093717"/>
    <n v="0"/>
    <n v="0"/>
    <n v="10149.946321457959"/>
    <n v="0"/>
    <n v="0"/>
    <n v="0"/>
    <n v="951845.8779844488"/>
    <n v="951845.8779844488"/>
    <n v="10149.946321457959"/>
    <n v="1.7512774347566378"/>
    <n v="1.7699520672448303"/>
    <n v="1.8674632488192462E-2"/>
    <n v="1.7512774347566378"/>
    <n v="266516.84583564568"/>
    <n v="269358.83080565394"/>
    <n v="2841.9849700082286"/>
    <n v="266516.84583564568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75911.55842753005"/>
    <n v="82449.939525946174"/>
    <n v="0"/>
    <n v="22570.244690841144"/>
    <n v="0"/>
    <n v="736790.52495436871"/>
    <n v="0"/>
    <n v="0"/>
    <n v="0"/>
    <n v="759360.76964520989"/>
    <n v="0"/>
    <n v="7.7454538270123328"/>
    <n v="0.13012964857483225"/>
    <n v="7.6153241784375005"/>
    <n v="0"/>
    <n v="645456.65419842838"/>
    <n v="19184.707987214973"/>
    <n v="626271.9462112133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577297.28616440273"/>
    <n v="0"/>
    <n v="268249.01834925939"/>
    <n v="960.24397829585632"/>
    <n v="0"/>
    <n v="0"/>
    <n v="0"/>
    <n v="1513732.8400958194"/>
    <n v="1513732.8400958194"/>
    <n v="960.24397829585632"/>
    <n v="5.1843230547305694"/>
    <n v="5.1876117559220756"/>
    <n v="3.288701191506347E-3"/>
    <n v="5.1843230547305694"/>
    <n v="469257.18042970402"/>
    <n v="469554.85606297577"/>
    <n v="297.67563327171547"/>
    <n v="469257.18042970408"/>
  </r>
  <r>
    <x v="23"/>
    <x v="10"/>
    <n v="0"/>
    <x v="2"/>
    <s v="Østdanmark"/>
    <n v="0"/>
    <n v="0"/>
    <n v="0"/>
    <n v="0"/>
    <n v="0"/>
    <n v="388599.4488834205"/>
    <n v="0"/>
    <n v="0"/>
    <n v="-388599.4488834205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550335.09529335448"/>
    <n v="115135.89493637283"/>
    <n v="0"/>
    <n v="0"/>
    <n v="58654.135156265344"/>
    <n v="58654.135156265344"/>
    <n v="550335.09529335448"/>
    <n v="2.9690136674749956E-2"/>
    <n v="0.30826425856129308"/>
    <n v="0.27857412188654312"/>
    <n v="2.9690136674749956E-2"/>
    <n v="4457.7142718761661"/>
    <n v="46283.181514171105"/>
    <n v="41825.467242294937"/>
    <n v="4457.7142718761679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555482.60888743005"/>
    <n v="0"/>
    <n v="0"/>
    <n v="15500.875420530891"/>
    <n v="0"/>
    <n v="0"/>
    <n v="0"/>
    <n v="-187235.61050078244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1023.015601598701"/>
    <n v="0"/>
    <n v="0"/>
    <n v="0"/>
    <n v="0"/>
    <n v="0"/>
    <n v="0"/>
    <n v="78558.573618925613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82596.70146402168"/>
    <n v="0"/>
    <n v="0"/>
    <n v="24610.929224370728"/>
    <n v="0"/>
    <n v="0"/>
    <n v="0"/>
    <n v="2215420.2193682976"/>
    <n v="1919162.7967223886"/>
    <n v="24610.929224370728"/>
    <n v="5.2086845968164317"/>
    <n v="5.2754796431685431"/>
    <n v="6.6795046352111129E-2"/>
    <n v="5.2086845968164317"/>
    <n v="383832.55934447772"/>
    <n v="388754.7451893519"/>
    <n v="4922.1858448741459"/>
    <n v="383832.55934447778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886667.7152542026"/>
    <n v="786290.23805561347"/>
    <n v="0"/>
    <n v="0"/>
    <n v="0"/>
    <n v="0"/>
    <n v="886667.7152542026"/>
    <n v="0"/>
    <n v="0.38197645173151057"/>
    <n v="0.38197645173151057"/>
    <n v="0"/>
    <n v="0"/>
    <n v="44333.385762710132"/>
    <n v="44333.385762710132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J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6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71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4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4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B3" sqref="B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37" t="s">
        <v>279</v>
      </c>
      <c r="B1" s="337"/>
      <c r="D1" s="75" t="s">
        <v>292</v>
      </c>
    </row>
    <row r="2" spans="1:6" ht="30" x14ac:dyDescent="0.25">
      <c r="A2" s="6" t="s">
        <v>0</v>
      </c>
      <c r="B2" s="227" t="s">
        <v>338</v>
      </c>
    </row>
    <row r="4" spans="1:6" ht="30" customHeight="1" thickBot="1" x14ac:dyDescent="0.3">
      <c r="A4" s="336" t="s">
        <v>278</v>
      </c>
      <c r="B4" s="336"/>
      <c r="D4" s="75"/>
    </row>
    <row r="5" spans="1:6" ht="15.75" thickTop="1" x14ac:dyDescent="0.25">
      <c r="A5" s="259" t="s">
        <v>86</v>
      </c>
      <c r="B5" s="258" t="s">
        <v>312</v>
      </c>
      <c r="D5" s="215" t="s">
        <v>43</v>
      </c>
      <c r="E5" s="216"/>
      <c r="F5" s="12"/>
    </row>
    <row r="6" spans="1:6" x14ac:dyDescent="0.25">
      <c r="A6" s="209" t="s">
        <v>84</v>
      </c>
      <c r="B6" s="210" t="s">
        <v>262</v>
      </c>
      <c r="D6" s="217" t="str" cm="1">
        <f t="array" ref="D6">[1]!Jordbund1</f>
        <v>JB1-10</v>
      </c>
      <c r="E6" s="218" t="s">
        <v>44</v>
      </c>
      <c r="F6" s="12"/>
    </row>
    <row r="7" spans="1:6" x14ac:dyDescent="0.25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25">
      <c r="A8" s="225" t="s">
        <v>92</v>
      </c>
      <c r="B8" s="210" t="s">
        <v>263</v>
      </c>
      <c r="D8" s="217" t="str" cm="1">
        <f t="array" ref="D8">[1]!Organ12</f>
        <v>OC12</v>
      </c>
      <c r="E8" s="218" t="s">
        <v>46</v>
      </c>
      <c r="F8" s="12"/>
    </row>
    <row r="9" spans="1:6" x14ac:dyDescent="0.25">
      <c r="A9" s="211" t="s">
        <v>93</v>
      </c>
      <c r="B9" s="210" t="s">
        <v>264</v>
      </c>
      <c r="D9" s="217"/>
      <c r="E9" s="218"/>
      <c r="F9" s="12"/>
    </row>
    <row r="10" spans="1:6" x14ac:dyDescent="0.25">
      <c r="A10" s="209"/>
      <c r="B10" s="210"/>
      <c r="D10" s="219" t="s">
        <v>47</v>
      </c>
      <c r="E10" s="218"/>
      <c r="F10" s="12"/>
    </row>
    <row r="11" spans="1:6" x14ac:dyDescent="0.25">
      <c r="A11" s="225" t="s">
        <v>69</v>
      </c>
      <c r="B11" s="226" t="s">
        <v>265</v>
      </c>
      <c r="D11" s="217" t="str" cm="1">
        <f t="array" ref="D11">[1]!Bebyg</f>
        <v>Bebyggelse &amp; infrastruktur</v>
      </c>
      <c r="E11" s="218"/>
      <c r="F11" s="12"/>
    </row>
    <row r="12" spans="1:6" x14ac:dyDescent="0.25">
      <c r="A12" s="209" t="s">
        <v>259</v>
      </c>
      <c r="B12" s="210" t="s">
        <v>266</v>
      </c>
      <c r="D12" s="217" t="str" cm="1">
        <f t="array" ref="D12">[1]!Afgrøder</f>
        <v>Landbrugsafgrøder</v>
      </c>
      <c r="E12" s="218"/>
      <c r="F12" s="12"/>
    </row>
    <row r="13" spans="1:6" x14ac:dyDescent="0.25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25">
      <c r="A14" s="225" t="s">
        <v>70</v>
      </c>
      <c r="B14" s="226" t="s">
        <v>267</v>
      </c>
      <c r="D14" s="217" t="str" cm="1">
        <f t="array" ref="D14">[1]!NaturAreal</f>
        <v>Natur</v>
      </c>
      <c r="E14" s="218"/>
      <c r="F14" s="12"/>
    </row>
    <row r="15" spans="1:6" x14ac:dyDescent="0.25">
      <c r="A15" s="209" t="s">
        <v>71</v>
      </c>
      <c r="B15" s="210" t="s">
        <v>268</v>
      </c>
      <c r="D15" s="217" t="str" cm="1">
        <f t="array" ref="D15">[1]!IKareal</f>
        <v>Ikke klassificeret</v>
      </c>
      <c r="E15" s="218"/>
      <c r="F15" s="12"/>
    </row>
    <row r="16" spans="1:6" x14ac:dyDescent="0.25">
      <c r="A16" s="209" t="s">
        <v>72</v>
      </c>
      <c r="B16" s="210"/>
      <c r="D16" s="220"/>
      <c r="E16" s="218"/>
    </row>
    <row r="17" spans="1:5" x14ac:dyDescent="0.25">
      <c r="A17" s="209" t="s">
        <v>73</v>
      </c>
      <c r="B17" s="226" t="s">
        <v>275</v>
      </c>
      <c r="D17" s="221" t="s">
        <v>94</v>
      </c>
      <c r="E17" s="218"/>
    </row>
    <row r="18" spans="1:5" x14ac:dyDescent="0.25">
      <c r="A18" s="209" t="s">
        <v>74</v>
      </c>
      <c r="B18" s="338" t="s">
        <v>280</v>
      </c>
      <c r="D18" s="217" cm="1">
        <f t="array" ref="D18">[1]!År1</f>
        <v>2019</v>
      </c>
      <c r="E18" s="218"/>
    </row>
    <row r="19" spans="1:5" x14ac:dyDescent="0.25">
      <c r="A19" s="209" t="s">
        <v>260</v>
      </c>
      <c r="B19" s="338"/>
      <c r="D19" s="217" cm="1">
        <f t="array" ref="D19">[1]!År2</f>
        <v>2030</v>
      </c>
      <c r="E19" s="218"/>
    </row>
    <row r="20" spans="1:5" ht="15.75" thickBot="1" x14ac:dyDescent="0.3">
      <c r="A20" s="209" t="s">
        <v>261</v>
      </c>
      <c r="B20" s="210"/>
      <c r="D20" s="222" cm="1">
        <f t="array" ref="D20">[1]!År3</f>
        <v>2050</v>
      </c>
      <c r="E20" s="223"/>
    </row>
    <row r="21" spans="1:5" ht="15.75" thickTop="1" x14ac:dyDescent="0.25">
      <c r="A21" s="209" t="s">
        <v>75</v>
      </c>
      <c r="B21" s="210"/>
    </row>
    <row r="22" spans="1:5" x14ac:dyDescent="0.25">
      <c r="A22" s="209"/>
      <c r="B22" s="210"/>
    </row>
    <row r="23" spans="1:5" x14ac:dyDescent="0.25">
      <c r="A23" s="260" t="s">
        <v>313</v>
      </c>
      <c r="B23" s="210"/>
    </row>
    <row r="24" spans="1:5" ht="15.75" thickBot="1" x14ac:dyDescent="0.3">
      <c r="A24" s="212" t="s">
        <v>1</v>
      </c>
      <c r="B24" s="213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T57" sqref="T5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7" t="s">
        <v>306</v>
      </c>
      <c r="B1" s="256"/>
      <c r="C1" s="339" t="s">
        <v>305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25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3" t="s">
        <v>281</v>
      </c>
      <c r="B1" s="75" t="s">
        <v>307</v>
      </c>
    </row>
    <row r="2" spans="1:18" ht="42.95" customHeight="1" x14ac:dyDescent="0.25">
      <c r="A2" s="228" t="s">
        <v>291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270</v>
      </c>
      <c r="B3" s="2" t="s">
        <v>272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271</v>
      </c>
      <c r="B4" s="2" t="s">
        <v>273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4" t="s">
        <v>276</v>
      </c>
      <c r="C5" s="9">
        <f>1900*11</f>
        <v>20900</v>
      </c>
      <c r="D5" s="9">
        <f>C5+1900*(D2-C2)</f>
        <v>58900</v>
      </c>
      <c r="E5" s="9" t="s">
        <v>277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61"/>
      <c r="J22" s="262" t="s">
        <v>308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25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25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25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25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25">
      <c r="I32" s="268"/>
      <c r="J32" s="262" t="s">
        <v>309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25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25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25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25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2" t="s">
        <v>281</v>
      </c>
    </row>
    <row r="2" spans="1:9" ht="15.75" x14ac:dyDescent="0.25">
      <c r="A2" s="229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5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274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2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25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25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7" t="s">
        <v>269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0" t="s">
        <v>333</v>
      </c>
      <c r="C30" s="25"/>
      <c r="D30" s="25"/>
      <c r="E30" s="25"/>
      <c r="K30" s="12"/>
    </row>
    <row r="31" spans="2:11" x14ac:dyDescent="0.25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25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25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25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25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25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298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246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245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2" t="s">
        <v>281</v>
      </c>
    </row>
    <row r="2" spans="1:9" ht="15.75" thickBot="1" x14ac:dyDescent="0.3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324</v>
      </c>
    </row>
    <row r="3" spans="1:9" x14ac:dyDescent="0.25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5.75" thickBot="1" x14ac:dyDescent="0.3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326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31" t="s">
        <v>281</v>
      </c>
    </row>
    <row r="2" spans="1:4" x14ac:dyDescent="0.25">
      <c r="A2" s="103" t="s">
        <v>251</v>
      </c>
    </row>
    <row r="3" spans="1:4" x14ac:dyDescent="0.25">
      <c r="A3" s="6" t="s">
        <v>184</v>
      </c>
      <c r="B3" s="1" t="s">
        <v>171</v>
      </c>
    </row>
    <row r="4" spans="1:4" x14ac:dyDescent="0.25">
      <c r="A4" s="6" t="s">
        <v>178</v>
      </c>
      <c r="B4" s="1" t="s">
        <v>172</v>
      </c>
    </row>
    <row r="5" spans="1:4" x14ac:dyDescent="0.25">
      <c r="A5" s="6" t="s">
        <v>179</v>
      </c>
      <c r="B5" s="1" t="s">
        <v>173</v>
      </c>
    </row>
    <row r="6" spans="1:4" x14ac:dyDescent="0.25">
      <c r="A6" s="6" t="s">
        <v>180</v>
      </c>
      <c r="B6" s="1" t="s">
        <v>188</v>
      </c>
    </row>
    <row r="7" spans="1:4" x14ac:dyDescent="0.25">
      <c r="A7" s="6" t="s">
        <v>181</v>
      </c>
      <c r="B7" s="1" t="s">
        <v>189</v>
      </c>
    </row>
    <row r="8" spans="1:4" x14ac:dyDescent="0.25">
      <c r="A8" s="6" t="s">
        <v>182</v>
      </c>
      <c r="B8" s="1" t="s">
        <v>190</v>
      </c>
    </row>
    <row r="9" spans="1:4" x14ac:dyDescent="0.25">
      <c r="A9" s="2" t="s">
        <v>290</v>
      </c>
      <c r="B9" s="2"/>
      <c r="C9" s="21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289</v>
      </c>
      <c r="B11" s="2"/>
      <c r="C11" s="2"/>
      <c r="D11" s="2"/>
    </row>
    <row r="12" spans="1:4" x14ac:dyDescent="0.25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178</v>
      </c>
      <c r="B13" s="7">
        <v>0</v>
      </c>
      <c r="C13" s="8">
        <v>1</v>
      </c>
      <c r="D13" s="8">
        <v>1</v>
      </c>
    </row>
    <row r="14" spans="1:4" x14ac:dyDescent="0.25">
      <c r="A14" s="2" t="s">
        <v>179</v>
      </c>
      <c r="B14" s="7">
        <v>0</v>
      </c>
      <c r="C14" s="8">
        <v>0</v>
      </c>
      <c r="D14" s="8">
        <v>0</v>
      </c>
    </row>
    <row r="15" spans="1:4" x14ac:dyDescent="0.25">
      <c r="A15" s="2" t="s">
        <v>180</v>
      </c>
      <c r="B15" s="7">
        <v>0</v>
      </c>
      <c r="C15" s="8">
        <v>0</v>
      </c>
      <c r="D15" s="8">
        <v>0</v>
      </c>
    </row>
    <row r="16" spans="1:4" x14ac:dyDescent="0.25">
      <c r="A16" s="2" t="s">
        <v>181</v>
      </c>
      <c r="B16" s="7">
        <v>0</v>
      </c>
      <c r="C16" s="8">
        <v>0</v>
      </c>
      <c r="D16" s="8">
        <v>0</v>
      </c>
    </row>
    <row r="17" spans="1:13" x14ac:dyDescent="0.25">
      <c r="A17" s="2" t="s">
        <v>182</v>
      </c>
      <c r="B17" s="7">
        <v>0</v>
      </c>
      <c r="C17" s="8">
        <v>0</v>
      </c>
      <c r="D17" s="8">
        <v>0</v>
      </c>
    </row>
    <row r="18" spans="1:13" x14ac:dyDescent="0.25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25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25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25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25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25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25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25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25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25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25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25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25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25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25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25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25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25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25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25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25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25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25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25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25">
      <c r="B42" s="153"/>
    </row>
    <row r="43" spans="1:8" x14ac:dyDescent="0.25">
      <c r="B43" s="153"/>
    </row>
    <row r="44" spans="1:8" x14ac:dyDescent="0.25">
      <c r="B44" s="153"/>
    </row>
    <row r="46" spans="1:8" x14ac:dyDescent="0.25">
      <c r="A46" s="343" t="s">
        <v>297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25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25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25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25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25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25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25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21" t="s">
        <v>281</v>
      </c>
      <c r="F1" s="75" t="s">
        <v>244</v>
      </c>
    </row>
    <row r="2" spans="1:7" s="325" customFormat="1" x14ac:dyDescent="0.25">
      <c r="A2" s="324"/>
      <c r="C2" s="345" t="s">
        <v>327</v>
      </c>
      <c r="D2" s="345"/>
      <c r="E2" s="345"/>
    </row>
    <row r="3" spans="1:7" s="12" customFormat="1" x14ac:dyDescent="0.25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329</v>
      </c>
    </row>
    <row r="5" spans="1:7" s="12" customFormat="1" x14ac:dyDescent="0.25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242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25">
      <c r="A8" s="322"/>
      <c r="C8" s="12" t="s">
        <v>243</v>
      </c>
      <c r="F8" s="323"/>
    </row>
    <row r="9" spans="1:7" x14ac:dyDescent="0.25">
      <c r="A9" s="322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31" t="s">
        <v>281</v>
      </c>
    </row>
    <row r="2" spans="1:10" ht="15.75" x14ac:dyDescent="0.25">
      <c r="A2" s="229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222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230377.75918826333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208</v>
      </c>
      <c r="B8" s="87">
        <v>0</v>
      </c>
      <c r="C8" s="3"/>
      <c r="D8" s="3"/>
    </row>
    <row r="9" spans="1:10" x14ac:dyDescent="0.25">
      <c r="A9" s="1" t="s">
        <v>223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0" sqref="F10:G1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30" t="s">
        <v>281</v>
      </c>
    </row>
    <row r="2" spans="1:29" ht="46.5" customHeight="1" x14ac:dyDescent="0.2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335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0.85085506224669805</v>
      </c>
      <c r="AC3" s="126">
        <f>SUM(E12:E14)/SUM(E12:E15)</f>
        <v>0.84156678039128929</v>
      </c>
    </row>
    <row r="4" spans="1:29" x14ac:dyDescent="0.2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2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0.34031562314868813</v>
      </c>
      <c r="AC5" s="147">
        <f t="shared" si="0"/>
        <v>0.3303788017692923</v>
      </c>
    </row>
    <row r="6" spans="1:29" x14ac:dyDescent="0.2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0.39319844103504681</v>
      </c>
      <c r="AC6" s="147">
        <f t="shared" si="0"/>
        <v>0.39109334699095094</v>
      </c>
    </row>
    <row r="7" spans="1:29" x14ac:dyDescent="0.2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49" t="s">
        <v>212</v>
      </c>
      <c r="D10" s="349"/>
      <c r="E10" s="349"/>
      <c r="F10" s="348" t="s">
        <v>336</v>
      </c>
      <c r="G10" s="348"/>
      <c r="J10" s="350" t="s">
        <v>213</v>
      </c>
      <c r="K10" s="350"/>
      <c r="L10" s="350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216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7317872.3979037404</v>
      </c>
      <c r="E12" s="133">
        <f>SUMIFS('Resultater - Danmark'!J$3:J$482,'Resultater - Danmark'!$F$3:$F$482,$A12)*D3</f>
        <v>7005959.4247079371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0.34031562314868813</v>
      </c>
      <c r="L12" s="134">
        <f t="shared" ref="L12:L28" si="3">E12/E$29</f>
        <v>0.3303788017692923</v>
      </c>
      <c r="M12" s="125" t="s">
        <v>214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8455021.8174732141</v>
      </c>
      <c r="E13" s="136">
        <f>SUMIFS('Resultater - Danmark'!J$3:J$482,'Resultater - Danmark'!$F$3:$F$482,$A13)*D4</f>
        <v>8293462.2488436466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0.39319844103504681</v>
      </c>
      <c r="L13" s="137">
        <f t="shared" si="3"/>
        <v>0.39109334699095094</v>
      </c>
      <c r="M13" s="125" t="s">
        <v>215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3617.1712242793346</v>
      </c>
      <c r="E14" s="136">
        <f>SUMIFS('Resultater - Danmark'!J$3:J$482,'Resultater - Danmark'!$F$3:$F$482,$A14)*D5</f>
        <v>3735.4520479403895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1.6821554302842836E-4</v>
      </c>
      <c r="L14" s="137">
        <f t="shared" si="3"/>
        <v>1.7615205810539539E-4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2765437.8672976275</v>
      </c>
      <c r="E15" s="136">
        <f>SUMIFS('Resultater - Danmark'!J$3:J$482,'Resultater - Danmark'!$F$3:$F$482,$A15)*D6</f>
        <v>2880969.7698136591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0.12860591985150802</v>
      </c>
      <c r="L15" s="137">
        <f t="shared" si="3"/>
        <v>0.1358573869451534</v>
      </c>
      <c r="M15" s="139" t="s">
        <v>301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303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1204392.371220411</v>
      </c>
      <c r="E16" s="136">
        <f>SUMIFS('Resultater - Danmark'!J$3:J$482,'Resultater - Danmark'!$F$3:$F$482,$A16)*D7</f>
        <v>1262014.3338818299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5.6009932674531422E-2</v>
      </c>
      <c r="L16" s="137">
        <f t="shared" si="3"/>
        <v>5.9512588950075447E-2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1.6927486366596273E-2</v>
      </c>
      <c r="L18" s="137">
        <f t="shared" si="3"/>
        <v>1.7437509236921743E-2</v>
      </c>
      <c r="M18" s="161" t="s">
        <v>299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3.3760940184851887E-2</v>
      </c>
      <c r="L19" s="137">
        <f t="shared" si="3"/>
        <v>3.4095893413030022E-2</v>
      </c>
      <c r="M19" s="163" t="s">
        <v>300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3.531289577497277E-3</v>
      </c>
      <c r="L20" s="137">
        <f t="shared" si="3"/>
        <v>3.5808063411094139E-3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3445654.0507503473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1.7606687834704731E-4</v>
      </c>
      <c r="L21" s="137">
        <f t="shared" si="3"/>
        <v>1.7853573902916006E-4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7186166.448623132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3.9843850861436799E-3</v>
      </c>
      <c r="L22" s="137">
        <f t="shared" si="3"/>
        <v>4.0402552860014122E-3</v>
      </c>
      <c r="M22" s="165" t="s">
        <v>302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2759146.642854617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1.5347767457306561E-2</v>
      </c>
      <c r="L23" s="137">
        <f t="shared" si="3"/>
        <v>1.5562978290765341E-2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1919162.7967223886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1.3321277681593159E-3</v>
      </c>
      <c r="L24" s="137">
        <f t="shared" si="3"/>
        <v>1.3508072489409114E-3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3.6273683336158717E-6</v>
      </c>
      <c r="L25" s="137">
        <f t="shared" si="3"/>
        <v>3.6782323413297636E-6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6.638177059961497E-3</v>
      </c>
      <c r="L26" s="137">
        <f t="shared" si="3"/>
        <v>6.7312594982832452E-3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21503192.625119273</v>
      </c>
      <c r="E29" s="145">
        <f>SUM(E12:E28)</f>
        <v>21205838.229295012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0.10536609436161316</v>
      </c>
      <c r="E30" s="149">
        <f>SUMPRODUCT(E12:E28,$H$12:$H$28)/E29</f>
        <v>0.10668972466527758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2.0840347189956605E-2</v>
      </c>
      <c r="E31" s="149">
        <f>SUM(E21:E24)/E29</f>
        <v>2.1132576564736823E-2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539354838.00291681</v>
      </c>
      <c r="E32" s="125">
        <f>SUMPRODUCT(E12:E28,$I$12:$I$28)</f>
        <v>538646145.97033834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19.362838684304716</v>
      </c>
      <c r="E33" s="125">
        <f>E32*[1]Energiindhold!$C$10</f>
        <v>19.33739664033515</v>
      </c>
    </row>
    <row r="34" spans="1:15" x14ac:dyDescent="0.2">
      <c r="C34" s="255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6391729.2665735735</v>
      </c>
      <c r="E39" s="133">
        <f>SUMIFS('Resultater - Vestdanmark'!J$3:J$482,'Resultater - Vestdanmark'!$F$3:$F$482,$A39)*D3</f>
        <v>6119291.7094537346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926143.13133016659</v>
      </c>
      <c r="M39" s="133">
        <f>SUMIFS('Resultater - Østdanmark'!J$3:J$482,'Resultater - Østdanmark'!$F$3:$F$482,$A39)*D3</f>
        <v>886667.7152542026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7893966.0004921574</v>
      </c>
      <c r="E40" s="136">
        <f>SUMIFS('Resultater - Vestdanmark'!J$3:J$482,'Resultater - Vestdanmark'!$F$3:$F$482,$A40)*D4</f>
        <v>7743127.1535502924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561055.81698105508</v>
      </c>
      <c r="M40" s="136">
        <f>SUMIFS('Resultater - Østdanmark'!J$3:J$482,'Resultater - Østdanmark'!$F$3:$F$482,$A40)*D4</f>
        <v>550335.09529335448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3337.0904542181925</v>
      </c>
      <c r="E41" s="136">
        <f>SUMIFS('Resultater - Vestdanmark'!J$3:J$482,'Resultater - Vestdanmark'!$F$3:$F$482,$A41)*D5</f>
        <v>3446.2126889929687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280.08077006114183</v>
      </c>
      <c r="M41" s="136">
        <f>SUMIFS('Resultater - Østdanmark'!J$3:J$482,'Resultater - Østdanmark'!$F$3:$F$482,$A41)*D5</f>
        <v>289.23935894742124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1497865.6247316466</v>
      </c>
      <c r="E42" s="136">
        <f>SUMIFS('Resultater - Vestdanmark'!J$3:J$482,'Resultater - Vestdanmark'!$F$3:$F$482,$A42)*D6</f>
        <v>1554136.2730559006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1267572.2425659813</v>
      </c>
      <c r="M42" s="136">
        <f>SUMIFS('Resultater - Østdanmark'!J$3:J$482,'Resultater - Østdanmark'!$F$3:$F$482,$A42)*D6</f>
        <v>1326833.4967577588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1061170.3273835385</v>
      </c>
      <c r="E43" s="136">
        <f>SUMIFS('Resultater - Vestdanmark'!J$3:J$482,'Resultater - Vestdanmark'!$F$3:$F$482,$A43)*D7</f>
        <v>1111191.0910754299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143222.04383687259</v>
      </c>
      <c r="M43" s="136">
        <f>SUMIFS('Resultater - Østdanmark'!J$3:J$482,'Resultater - Østdanmark'!$F$3:$F$482,$A43)*D7</f>
        <v>150823.24280639994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508461.98144503916</v>
      </c>
      <c r="E46" s="136">
        <f>SUMIFS('Resultater - Vestdanmark'!J$3:J$482,'Resultater - Vestdanmark'!$F$3:$F$482,$A46)/SUMIFS('Resultater - Danmark'!J$3:J$482,'Resultater - Danmark'!$F$3:$F$482,$A46)*E19</f>
        <v>505095.54922592157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217506.01855496093</v>
      </c>
      <c r="M46" s="136">
        <f>SUMIFS('Resultater - Østdanmark'!J$3:J$482,'Resultater - Østdanmark'!$F$3:$F$482,$A46)/SUMIFS('Resultater - Danmark'!J$3:J$482,'Resultater - Danmark'!$F$3:$F$482,$A46)*E19</f>
        <v>217936.45077407858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53644.580306161413</v>
      </c>
      <c r="E47" s="136">
        <f>SUMIFS('Resultater - Vestdanmark'!J$3:J$482,'Resultater - Vestdanmark'!$F$3:$F$482,$A47)/SUMIFS('Resultater - Danmark'!J$3:J$482,'Resultater - Danmark'!$F$3:$F$482,$A47)*E20</f>
        <v>53363.755309158871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22289.419693838598</v>
      </c>
      <c r="M47" s="136">
        <f>SUMIFS('Resultater - Østdanmark'!J$3:J$482,'Resultater - Østdanmark'!$F$3:$F$482,$A47)/SUMIFS('Resultater - Danmark'!J$3:J$482,'Resultater - Danmark'!$F$3:$F$482,$A47)*E20</f>
        <v>22570.244690841144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18116708.54364533</v>
      </c>
      <c r="E56" s="145">
        <f ca="1">SUM(E39:E55)</f>
        <v>17798283.23987589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3386484.0814739461</v>
      </c>
      <c r="M56" s="145">
        <f ca="1">SUM(M39:M55)</f>
        <v>3407554.9894191246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0.10276680091556224</v>
      </c>
      <c r="E57" s="149">
        <f ca="1">SUMPRODUCT(E39:E55,$F$39:$F$55)/E56</f>
        <v>0.10416928393267103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0.11927156110782515</v>
      </c>
      <c r="M57" s="149">
        <f ca="1">SUMPRODUCT(M39:M55,$N$39:$N$55)/M56</f>
        <v>0.11985444781356019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2.1925397003635872E-2</v>
      </c>
      <c r="E58" s="149">
        <f ca="1">SUM(E48:E51)/E56</f>
        <v>2.230057807856935E-2</v>
      </c>
      <c r="I58" s="148" t="s">
        <v>161</v>
      </c>
      <c r="K58" s="149">
        <f ca="1">SUM(K48:K51)/K56</f>
        <v>1.8896340963997331E-2</v>
      </c>
      <c r="L58" s="149">
        <f ca="1">SUM(L48:L51)/L56</f>
        <v>1.5035645098692627E-2</v>
      </c>
      <c r="M58" s="149">
        <f ca="1">SUM(M48:M51)/M56</f>
        <v>1.5031890931681514E-2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436104134.24282026</v>
      </c>
      <c r="E59" s="125">
        <f ca="1">SUMPRODUCT(E39:E55,$I$12:$I$28)</f>
        <v>434305248.86575383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103250703.76009664</v>
      </c>
      <c r="M59" s="125">
        <f ca="1">SUMPRODUCT(M39:M55,$I$12:$I$28)</f>
        <v>104340897.10458456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15.65613841931725</v>
      </c>
      <c r="E60" s="125">
        <f ca="1">E59*[1]Energiindhold!$C$10</f>
        <v>15.591558434280564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3.7067002649874699</v>
      </c>
      <c r="M60" s="125">
        <f ca="1">M59*[1]Energiindhold!$C$10</f>
        <v>3.7458382060545863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E21" sqref="E21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31" t="s">
        <v>281</v>
      </c>
    </row>
    <row r="2" spans="1:5" ht="15.75" x14ac:dyDescent="0.25">
      <c r="A2" s="229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11"/>
    </row>
    <row r="6" spans="1:5" x14ac:dyDescent="0.25">
      <c r="A6" s="311"/>
    </row>
    <row r="7" spans="1:5" ht="15.75" x14ac:dyDescent="0.25">
      <c r="A7" s="229" t="s">
        <v>304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25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25">
      <c r="A16" s="2" t="s">
        <v>250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25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25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104203.4407339669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25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25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25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25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252</v>
      </c>
    </row>
    <row r="2" spans="1:1" x14ac:dyDescent="0.25">
      <c r="A2" s="92" t="s">
        <v>253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59" workbookViewId="0">
      <selection activeCell="I171" sqref="I171:I182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25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25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25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25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25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25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25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25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25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25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25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25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25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25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25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25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25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25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25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25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25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25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25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25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25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25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25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25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25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25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25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25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25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25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25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25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25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25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25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25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25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225</v>
      </c>
      <c r="I1" s="156" t="s">
        <v>191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4703372.1615964994</v>
      </c>
      <c r="G203" s="319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618468.71483434096</v>
      </c>
      <c r="G204" s="319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51598.780380153592</v>
      </c>
      <c r="G206" s="319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672934.09412450308</v>
      </c>
      <c r="G207" s="319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4525643.0291759707</v>
      </c>
      <c r="G208" s="319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171279.2848730098</v>
      </c>
      <c r="G209" s="319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9790151.9274066389</v>
      </c>
      <c r="G212" s="319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1212571.3389336092</v>
      </c>
      <c r="G213" s="319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31532.588010093863</v>
      </c>
      <c r="G216" s="319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3862742.0312364982</v>
      </c>
      <c r="G217" s="319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4703372.1615964994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618468.71483434096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51598.780380153592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672934.09412450308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4525643.0291759707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171279.2848730098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9790151.9274066389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1212571.3389336092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31532.588010093863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3862742.0312364982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577297.28616440261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75911.558427530035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6333.2934029920762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82596.701464021666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555482.60888742993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21023.015601598698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1201654.4608093714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148832.39497031379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3870.3459684951581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474117.38114065683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577297.28616440273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75911.55842753005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6333.293402992078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82596.70146402168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555482.60888743005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21023.015601598701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1201654.4608093717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148832.39497031382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3870.345968495159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474117.381140657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25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25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1385491.0293729189</v>
      </c>
      <c r="F302" s="171">
        <v>1</v>
      </c>
    </row>
    <row r="303" spans="1:7" x14ac:dyDescent="0.25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25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756737.32303016982</v>
      </c>
      <c r="F314" s="171">
        <v>1</v>
      </c>
    </row>
    <row r="315" spans="1:7" x14ac:dyDescent="0.25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25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1303036.156330572</v>
      </c>
      <c r="F326" s="171">
        <v>1</v>
      </c>
    </row>
    <row r="327" spans="1:7" x14ac:dyDescent="0.25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25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736790.52495436871</v>
      </c>
      <c r="F338" s="171">
        <v>1</v>
      </c>
    </row>
    <row r="339" spans="1:7" x14ac:dyDescent="0.25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25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5668137.2741312822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1651500.7816819118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2526.6542010509174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401728.76679519669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14170727.436337013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851831.85374033672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5426541.7046099147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1619943.7071243373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2609.2753216661044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420665.19876426988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13769683.498114759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822588.45729733328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821296.73910410993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117378.78276314179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212.06115447486451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54219.773738244621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2648877.5690380111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398766.23112041334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786290.23805561347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115135.89493637283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218.99551463161893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57097.370490994261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2636262.8953785724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388599.4488834205</v>
      </c>
    </row>
    <row r="386" spans="1:7" x14ac:dyDescent="0.25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239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239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239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239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239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239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193</v>
      </c>
      <c r="G1" t="s">
        <v>167</v>
      </c>
      <c r="H1" t="s">
        <v>230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11179450.521719089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10702943.763836339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12059866.540704856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11545833.414063649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1545987.8753404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1480092.5373921432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126364.07464315755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120978.00174055072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-6899366479.4311991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-6605291672.6084795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-529870.57138021174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-507285.65921701177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903477.64426614856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864968.30946007557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250001.99508437468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412474.2353108211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270982.38903804816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447089.44687999511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8287.7479220134319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13673.82082462027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-452503691.13680112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-746578497.95952106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-30547.05385711979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-50399.088521119782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65181.298474246374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107541.56676092674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320710.24991141836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305215.91139179375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9306493.1916532889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8856872.5263272319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182381.20793873124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173569.90185730331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3483702.3515116847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3315395.7147551631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39686.364587318778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37769.014057677145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-2414589993.7588573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-2297934929.6948571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-10099.220944102173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-9611.3015585021712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2611702.7463139286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2485524.6572905863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19991.394030461786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24638.981899308401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1080304.1774153388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1331452.6757126269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8919.2373366675656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10992.77653969144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412642.87678260863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508573.85715239123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8247.3986537220499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10164.749183363683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-501786607.84114248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-618441671.90514243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-2530.0165101234074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-3118.1933037234076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453873.49996140599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559389.75206455449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75949470.02073957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72316591.351941347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4834.1004940422599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4602.8717499465147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107141.30412896334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102016.43152338694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158277.5242695417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150706.6611481533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6684.6952383134503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6364.9472962665268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-263015760.16375715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-250434970.00951719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-6233.8150947903478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-5935.6340294463489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10156.003135680934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9670.2126865601167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1041493.740480428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1295897.5887379702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1840.0804143941255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2289.5536280394222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6928.640984266608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8621.0879583398764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12756.03561276813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15871.930046182108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1309.0033128596663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1628.7512549065907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-51503993.692242816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-64084783.846482813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-2299.2854326894117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-2860.9278502894113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2187.6339015735002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2722.0033956064012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2502141.5052936058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2455663.5565474145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97408.630707357341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95599.239297688866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12799.494074946755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12561.740043716316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1296795.0922933305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1272706.7760624508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1102410.4206254377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1072120.6999068451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21120.452678686721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20540.149189969037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98317.201590938494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95615.847791748558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97009.626395618849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94344.199404397878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84934.510833187902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82230.492590145455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41193.926040245511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39882.455279742353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5437.460580082532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5264.3508222216306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55888.835329455884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54109.529970176744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145303.11165081069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138927.00099994309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535.94813157761189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512.42995257070322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4232533290.6275983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4232533290.6275983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117530555.31034985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117530555.31034985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55898678.745166384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55898678.745166384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102480911.03280504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102480911.03280504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1198954994.1110687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1198954994.1110687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172712584.32801408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172712584.32801408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1628228180.8848464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1628228180.8848464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116813905.5828477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116813905.5828477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86714617.027758121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86714617.027758121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2870898808.3735456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2870898808.3735456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8615319.5971695222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8570219.1026509143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76700751.198882878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73431500.513444811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-81351.373701752236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-77883.897437456471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111304920.60693942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109178092.86505912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-232290.64387442611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-227852.00645500762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43715.884950258318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45145.386225807888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63670219.643012308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66671465.464525796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52165656.986353792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51820277.872833423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20820332.183769889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21602494.19547702</v>
      </c>
      <c r="L451" s="142"/>
      <c r="M451" s="125"/>
    </row>
    <row r="452" spans="1:13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16654690.164173149</v>
      </c>
      <c r="J452" s="288">
        <f ca="1">SUMIFS('Forbrug af biomasse'!$E$1:$E$425,'Forbrug af biomasse'!$A$1:$A$425,"Biogas",'Forbrug af biomasse'!$B$1:$B$425,$A$1,'Forbrug af biomasse'!$D$1:$D$425,J$2)*'[1]Processer - data'!J452</f>
        <v>16361961.782417906</v>
      </c>
    </row>
    <row r="453" spans="1:13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30041127.552895796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28760671.034432545</v>
      </c>
    </row>
    <row r="454" spans="1:13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13212006.253455294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12959549.656994699</v>
      </c>
    </row>
    <row r="455" spans="1:13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17686.579407356421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18264.927251662732</v>
      </c>
    </row>
    <row r="456" spans="1:13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5624202.7351327538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5889312.7826997787</v>
      </c>
    </row>
    <row r="457" spans="1:13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99195092.054359093</v>
      </c>
      <c r="J457" s="288">
        <f ca="1">J452*'[1]Processer - data'!J$457*Biogasanlæg!AC$3</f>
        <v>96387784.486803308</v>
      </c>
    </row>
    <row r="458" spans="1:13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136293096.59845388</v>
      </c>
      <c r="J458" s="288">
        <f ca="1">-SUMIFS('Resultater - Vestdanmark'!J$3:J$482,'Resultater - Vestdanmark'!$F$3:$F$482,"Gødning",'Resultater - Vestdanmark'!$A$3:$A$482,"&lt;&gt;Gødning")-SUM(J453:J457)</f>
        <v>131614153.16757333</v>
      </c>
    </row>
    <row r="459" spans="1:13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14.320166964206413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13.467929364722803</v>
      </c>
    </row>
    <row r="460" spans="1:13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15.644878670886264</v>
      </c>
      <c r="J467" s="288">
        <f ca="1">SUM(J433:J451)*'[1]Processer - data'!$H$467</f>
        <v>15.580582515330825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1619870.1291811671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1550825.6746305928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1747439.8704342765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1672957.9533098161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224009.18314141617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214461.13877310805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18309.789870119137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17529.363444725979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-999698298.99885452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-957087707.86189473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-76776.717177954502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-73504.228560354517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130911.30422612706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125331.41270768401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36224.567861015261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59766.326756290277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39264.566418903487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64781.971051799803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1200.8707647098604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1981.2971901030198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-65566479.42514535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-108177070.56210533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-4426.1799791952308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-7302.6825311952289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9444.5821084449508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15582.462778732337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22794.163449276428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21692.918681289459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661449.78842651786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629493.44484708668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12962.563762711534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12336.308907816358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247600.69511628913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235638.46756389324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2820.6690661142875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2684.3952757559205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-171614592.91035649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-163323449.74235648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-717.79212848296538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-683.11374128296541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185624.18661968777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176656.20388227972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1420.8685354930128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1751.1912412893646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76781.549706449339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94631.680538906046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633.92596198919023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781.30070765217795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29328.183873637823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36146.383313793289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586.17569284488786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722.44948320325477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-35663986.289643541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-43955129.457643531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-179.81841826711027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-221.62250146711023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32258.609590036394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39758.072727427665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6374410.9849512335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6069504.8192194803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405.72427013864109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386.31732699607659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8992.3301083624119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8562.2014422302946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13284.174189749368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12648.754442470523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561.0440039478965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534.20767719482114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-22074815.668171618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-21018914.594251622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-523.2017999274442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-498.17557317544419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852.38959447123887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811.61738138779606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87412.185210291747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108764.20629093802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154.43726998364264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192.16139089876592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581.51828036235077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723.56473019319401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1070.6093605689982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1332.1252302502314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109.86416487898698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136.70049163206232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-4322711.179828384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-5378612.2537483834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-192.97817767090999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-240.11661847090997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183.60730587631363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228.45674026810067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177837.22990030446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174533.85571503793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6923.221974748174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6794.6212719421637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909.71136748191009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892.81323513320024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92168.427114874314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90456.37389070644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159736.08962264023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155347.1964728414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3060.2926630894976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2976.2083616824511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14245.87887682287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13854.46050441212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14056.415003223578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13670.202321642862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6036.6362564051497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5844.4508372651044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2927.8175036130328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2834.6060179118035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386.46212662561334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374.15852199671258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3972.2436306328855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3845.7812640674751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12195.236527675561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11660.091914249606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44.981928858219973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43.008056775021096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519505983.86209995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519505983.86210006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14425834.973481953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14425834.973481957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6861067.8532414157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6861067.8532414176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12578624.397609264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12578624.397609266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147161109.21119085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147161109.21119091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21198940.418348476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21198940.41834848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199850591.82774997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199850591.82775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14337872.565107062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14337872.565107064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10643451.413361685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10643451.413361687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352377407.94980913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352377407.94980925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3579680.8028304786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3624781.2973490874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11113717.575962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10640012.583050432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-11787.579360122158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-11285.152052691872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7910887.0194328763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7759724.8436362976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-16509.827502157474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-16194.355742654174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3669.0580878009578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3789.0356022112182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8593322.6302123554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9049394.5683839954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22315029.973646216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22359190.167166591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17619254.17166714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18442985.604932848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3113194.8160989988</v>
      </c>
      <c r="J452" s="288">
        <f ca="1">SUMIFS('Forbrug af biomasse'!$E$1:$E$425,'Forbrug af biomasse'!$A$1:$A$425,"Biogas",'Forbrug af biomasse'!$B$1:$B$425,$A$1,'Forbrug af biomasse'!$D$1:$D$425,J$2)*'[1]Processer - data'!J452</f>
        <v>3132565.3017730014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4352872.7172517823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4167338.2616947512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939030.26210513432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921087.15949098265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1484.4280813240516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1532.9686024213324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759076.83233542473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799363.18687391968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18542142.983266078</v>
      </c>
      <c r="J457" s="288">
        <f ca="1">J452*'[1]Processer - data'!J$457*Biogasanlæg!AC$3</f>
        <v>18453840.267650008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63802596.979266137</v>
      </c>
      <c r="J458" s="288">
        <f ca="1">-SUMIFS('Resultater - Østdanmark'!J$3:J$482,'Resultater - Østdanmark'!$F$3:$F$482,"Gødning",'Resultater - Østdanmark'!$A$3:$A$482,"&lt;&gt;Gødning")-SUM(J453:J457)</f>
        <v>62175911.821347281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7.8214904204347988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7.6153241784375005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3.7056843880811146</v>
      </c>
      <c r="J467" s="288">
        <f ca="1">SUM(J433:J451)*'[1]Processer - data'!$H$467</f>
        <v>3.7448516917247332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12662850.806285976</v>
      </c>
      <c r="O3" s="98">
        <f>SUMIF($F$3:$F$487,$L$3,J$3:J$487)</f>
        <v>11673273.75340089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12799320.650900256</v>
      </c>
      <c r="J74" s="282">
        <f>'Resultater - Vestdanmark'!J74+'Resultater - Østdanmark'!J74</f>
        <v>12253769.438466933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13807306.411139132</v>
      </c>
      <c r="J75" s="282">
        <f>'Resultater - Vestdanmark'!J75+'Resultater - Østdanmark'!J75</f>
        <v>13218791.367373465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1769997.0584818162</v>
      </c>
      <c r="J76" s="282">
        <f>'Resultater - Vestdanmark'!J76+'Resultater - Østdanmark'!J76</f>
        <v>1694553.6761652513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144673.8645132767</v>
      </c>
      <c r="J77" s="282">
        <f>'Resultater - Vestdanmark'!J77+'Resultater - Østdanmark'!J77</f>
        <v>138507.36518527669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-7899064778.4300537</v>
      </c>
      <c r="J78" s="282">
        <f>'Resultater - Vestdanmark'!J78+'Resultater - Østdanmark'!J78</f>
        <v>-7562379380.4703741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-606647.28855816624</v>
      </c>
      <c r="J79" s="282">
        <f>'Resultater - Vestdanmark'!J79+'Resultater - Østdanmark'!J79</f>
        <v>-580789.88777736633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1034388.9484922757</v>
      </c>
      <c r="J80" s="282">
        <f>'Resultater - Vestdanmark'!J80+'Resultater - Østdanmark'!J80</f>
        <v>990299.72216775955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286226.56294538995</v>
      </c>
      <c r="J81" s="282">
        <f>'Resultater - Vestdanmark'!J81+'Resultater - Østdanmark'!J81</f>
        <v>472240.56206711137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310246.95545695163</v>
      </c>
      <c r="J83" s="282">
        <f>'Resultater - Vestdanmark'!J83+'Resultater - Østdanmark'!J83</f>
        <v>511871.41793179489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9488.6186867232918</v>
      </c>
      <c r="J84" s="282">
        <f>'Resultater - Vestdanmark'!J84+'Resultater - Østdanmark'!J84</f>
        <v>15655.11801472329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-518070170.56194645</v>
      </c>
      <c r="J85" s="282">
        <f>'Resultater - Vestdanmark'!J85+'Resultater - Østdanmark'!J85</f>
        <v>-854755568.52162635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-34973.233836315019</v>
      </c>
      <c r="J86" s="282">
        <f>'Resultater - Vestdanmark'!J86+'Resultater - Østdanmark'!J86</f>
        <v>-57701.771052315009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74625.88058269133</v>
      </c>
      <c r="J87" s="282">
        <f>'Resultater - Vestdanmark'!J87+'Resultater - Østdanmark'!J87</f>
        <v>123124.02953965908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343504.41336069477</v>
      </c>
      <c r="J88" s="282">
        <f>'Resultater - Vestdanmark'!J88+'Resultater - Østdanmark'!J88</f>
        <v>326908.83007308323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9967942.9800798073</v>
      </c>
      <c r="J89" s="282">
        <f>'Resultater - Vestdanmark'!J89+'Resultater - Østdanmark'!J89</f>
        <v>9486365.9711743183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195343.77170144278</v>
      </c>
      <c r="J90" s="282">
        <f>'Resultater - Vestdanmark'!J90+'Resultater - Østdanmark'!J90</f>
        <v>185906.21076511967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3731303.0466279737</v>
      </c>
      <c r="J91" s="282">
        <f>'Resultater - Vestdanmark'!J91+'Resultater - Østdanmark'!J91</f>
        <v>3551034.1823190562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42507.033653433064</v>
      </c>
      <c r="J92" s="282">
        <f>'Resultater - Vestdanmark'!J92+'Resultater - Østdanmark'!J92</f>
        <v>40453.409333433068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-2586204586.6692138</v>
      </c>
      <c r="J93" s="282">
        <f>'Resultater - Vestdanmark'!J93+'Resultater - Østdanmark'!J93</f>
        <v>-2461258379.4372134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-10817.013072585138</v>
      </c>
      <c r="J94" s="282">
        <f>'Resultater - Vestdanmark'!J94+'Resultater - Østdanmark'!J94</f>
        <v>-10294.415299785136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2797326.9329336165</v>
      </c>
      <c r="J95" s="282">
        <f>'Resultater - Vestdanmark'!J95+'Resultater - Østdanmark'!J95</f>
        <v>2662180.8611728661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21412.262565954799</v>
      </c>
      <c r="J96" s="282">
        <f>'Resultater - Vestdanmark'!J96+'Resultater - Østdanmark'!J96</f>
        <v>26390.173140597766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1157085.7271217881</v>
      </c>
      <c r="J97" s="282">
        <f>'Resultater - Vestdanmark'!J97+'Resultater - Østdanmark'!J97</f>
        <v>1426084.3562515329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9553.1632986567565</v>
      </c>
      <c r="J98" s="282">
        <f>'Resultater - Vestdanmark'!J98+'Resultater - Østdanmark'!J98</f>
        <v>11774.077247343617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441971.06065624644</v>
      </c>
      <c r="J99" s="282">
        <f>'Resultater - Vestdanmark'!J99+'Resultater - Østdanmark'!J99</f>
        <v>544720.24046618456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8833.5743465669384</v>
      </c>
      <c r="J100" s="282">
        <f>'Resultater - Vestdanmark'!J100+'Resultater - Østdanmark'!J100</f>
        <v>10887.198666566937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-537450594.13078606</v>
      </c>
      <c r="J101" s="282">
        <f>'Resultater - Vestdanmark'!J101+'Resultater - Østdanmark'!J101</f>
        <v>-662396801.36278594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-2709.8349283905177</v>
      </c>
      <c r="J102" s="282">
        <f>'Resultater - Vestdanmark'!J102+'Resultater - Østdanmark'!J102</f>
        <v>-3339.8158051905179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486132.10955144238</v>
      </c>
      <c r="J103" s="282">
        <f>'Resultater - Vestdanmark'!J103+'Resultater - Østdanmark'!J103</f>
        <v>599147.82479198219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82323881.005690798</v>
      </c>
      <c r="J104" s="282">
        <f>'Resultater - Vestdanmark'!J104+'Resultater - Østdanmark'!J104</f>
        <v>78386096.171160832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5239.8247641809012</v>
      </c>
      <c r="J105" s="282">
        <f>'Resultater - Vestdanmark'!J105+'Resultater - Østdanmark'!J105</f>
        <v>4989.1890769425909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116133.63423732575</v>
      </c>
      <c r="J106" s="282">
        <f>'Resultater - Vestdanmark'!J106+'Resultater - Østdanmark'!J106</f>
        <v>110578.63296561723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171561.69845929107</v>
      </c>
      <c r="J107" s="282">
        <f>'Resultater - Vestdanmark'!J107+'Resultater - Østdanmark'!J107</f>
        <v>163355.41559062383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7245.7392422613466</v>
      </c>
      <c r="J108" s="282">
        <f>'Resultater - Vestdanmark'!J108+'Resultater - Østdanmark'!J108</f>
        <v>6899.1549734613482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-285090575.83192879</v>
      </c>
      <c r="J109" s="282">
        <f>'Resultater - Vestdanmark'!J109+'Resultater - Østdanmark'!J109</f>
        <v>-271453884.60376883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-6757.0168947177917</v>
      </c>
      <c r="J110" s="282">
        <f>'Resultater - Vestdanmark'!J110+'Resultater - Østdanmark'!J110</f>
        <v>-6433.8096026217927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11008.392730152173</v>
      </c>
      <c r="J111" s="282">
        <f>'Resultater - Vestdanmark'!J111+'Resultater - Østdanmark'!J111</f>
        <v>10481.830067947913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1128905.9256907196</v>
      </c>
      <c r="J112" s="282">
        <f>'Resultater - Vestdanmark'!J112+'Resultater - Østdanmark'!J112</f>
        <v>1404661.7950289082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1994.5176843777681</v>
      </c>
      <c r="J113" s="282">
        <f>'Resultater - Vestdanmark'!J113+'Resultater - Østdanmark'!J113</f>
        <v>2481.7150189381882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7510.1592646289591</v>
      </c>
      <c r="J114" s="282">
        <f>'Resultater - Vestdanmark'!J114+'Resultater - Østdanmark'!J114</f>
        <v>9344.6526885330713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13826.644973337128</v>
      </c>
      <c r="J115" s="282">
        <f>'Resultater - Vestdanmark'!J115+'Resultater - Østdanmark'!J115</f>
        <v>17204.05527643234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1418.8674777386532</v>
      </c>
      <c r="J116" s="282">
        <f>'Resultater - Vestdanmark'!J116+'Resultater - Østdanmark'!J116</f>
        <v>1765.451746538653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-55826704.872071199</v>
      </c>
      <c r="J117" s="282">
        <f>'Resultater - Vestdanmark'!J117+'Resultater - Østdanmark'!J117</f>
        <v>-69463396.1002312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-2492.2636103603218</v>
      </c>
      <c r="J118" s="282">
        <f>'Resultater - Vestdanmark'!J118+'Resultater - Østdanmark'!J118</f>
        <v>-3101.0444687603213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2371.2412074498138</v>
      </c>
      <c r="J119" s="282">
        <f>'Resultater - Vestdanmark'!J119+'Resultater - Østdanmark'!J119</f>
        <v>2950.4601358745017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2679978.7351939101</v>
      </c>
      <c r="J404" s="282">
        <f>'Resultater - Vestdanmark'!J404+'Resultater - Østdanmark'!J404</f>
        <v>2630197.4122624523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104331.85268210551</v>
      </c>
      <c r="J405" s="282">
        <f>'Resultater - Vestdanmark'!J405+'Resultater - Østdanmark'!J405</f>
        <v>102393.86056963103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13709.205442428665</v>
      </c>
      <c r="J406" s="282">
        <f>'Resultater - Vestdanmark'!J406+'Resultater - Østdanmark'!J406</f>
        <v>13454.553278849517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1388963.5194082048</v>
      </c>
      <c r="J407" s="282">
        <f>'Resultater - Vestdanmark'!J407+'Resultater - Østdanmark'!J407</f>
        <v>1363163.1499531572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1262146.510248078</v>
      </c>
      <c r="J408" s="282">
        <f>'Resultater - Vestdanmark'!J408+'Resultater - Østdanmark'!J408</f>
        <v>1227467.8963796864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24180.745341776219</v>
      </c>
      <c r="J409" s="282">
        <f>'Resultater - Vestdanmark'!J409+'Resultater - Østdanmark'!J409</f>
        <v>23516.35755165149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112563.08046776136</v>
      </c>
      <c r="J410" s="282">
        <f>'Resultater - Vestdanmark'!J410+'Resultater - Østdanmark'!J410</f>
        <v>109470.30829616069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111066.04139884243</v>
      </c>
      <c r="J411" s="282">
        <f>'Resultater - Vestdanmark'!J411+'Resultater - Østdanmark'!J411</f>
        <v>108014.40172604074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90971.147089593054</v>
      </c>
      <c r="J412" s="282">
        <f>'Resultater - Vestdanmark'!J412+'Resultater - Østdanmark'!J412</f>
        <v>88074.943427410559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44121.743543858545</v>
      </c>
      <c r="J413" s="282">
        <f>'Resultater - Vestdanmark'!J413+'Resultater - Østdanmark'!J413</f>
        <v>42717.06129765416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5823.9227067081456</v>
      </c>
      <c r="J414" s="282">
        <f>'Resultater - Vestdanmark'!J414+'Resultater - Østdanmark'!J414</f>
        <v>5638.5093442183434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59861.078960088766</v>
      </c>
      <c r="J415" s="282">
        <f>'Resultater - Vestdanmark'!J415+'Resultater - Østdanmark'!J415</f>
        <v>57955.311234244218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157498.34817848625</v>
      </c>
      <c r="J416" s="282">
        <f>'Resultater - Vestdanmark'!J416+'Resultater - Østdanmark'!J416</f>
        <v>150587.0929141927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580.93006043583182</v>
      </c>
      <c r="J417" s="285">
        <f>'Resultater - Vestdanmark'!J417+'Resultater - Østdanmark'!J417</f>
        <v>555.43800934572437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4752039274.4896984</v>
      </c>
      <c r="J418" s="279">
        <f>'Resultater - Vestdanmark'!J418+'Resultater - Østdanmark'!J418</f>
        <v>4752039274.4896984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131956390.2838318</v>
      </c>
      <c r="J419" s="282">
        <f>'Resultater - Vestdanmark'!J419+'Resultater - Østdanmark'!J419</f>
        <v>131956390.2838318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62759746.598407798</v>
      </c>
      <c r="J421" s="282">
        <f>'Resultater - Vestdanmark'!J421+'Resultater - Østdanmark'!J421</f>
        <v>62759746.598407805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115059535.4304143</v>
      </c>
      <c r="J422" s="282">
        <f>'Resultater - Vestdanmark'!J422+'Resultater - Østdanmark'!J422</f>
        <v>115059535.4304143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1346116103.3222597</v>
      </c>
      <c r="J423" s="282">
        <f>'Resultater - Vestdanmark'!J423+'Resultater - Østdanmark'!J423</f>
        <v>1346116103.3222597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193911524.74636257</v>
      </c>
      <c r="J424" s="282">
        <f>'Resultater - Vestdanmark'!J424+'Resultater - Østdanmark'!J424</f>
        <v>193911524.74636257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1828078772.7125964</v>
      </c>
      <c r="J427" s="282">
        <f>'Resultater - Vestdanmark'!J427+'Resultater - Østdanmark'!J427</f>
        <v>1828078772.7125964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131151778.14795476</v>
      </c>
      <c r="J428" s="282">
        <f>'Resultater - Vestdanmark'!J428+'Resultater - Østdanmark'!J428</f>
        <v>131151778.14795476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97358068.441119805</v>
      </c>
      <c r="J431" s="282">
        <f>'Resultater - Vestdanmark'!J431+'Resultater - Østdanmark'!J431</f>
        <v>97358068.441119805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3223276216.3233547</v>
      </c>
      <c r="J432" s="282">
        <f>'Resultater - Vestdanmark'!J432+'Resultater - Østdanmark'!J432</f>
        <v>3223276216.3233547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12195000.4</v>
      </c>
      <c r="J433" s="282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87814468.774844885</v>
      </c>
      <c r="J436" s="282">
        <f>'Resultater - Vestdanmark'!J436+'Resultater - Østdanmark'!J436</f>
        <v>84071513.096495241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-93138.953061874388</v>
      </c>
      <c r="J437" s="288">
        <f>'Resultater - Vestdanmark'!J437+'Resultater - Østdanmark'!J437</f>
        <v>-89169.049490148347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119215807.62637229</v>
      </c>
      <c r="J438" s="282">
        <f>'Resultater - Vestdanmark'!J438+'Resultater - Østdanmark'!J438</f>
        <v>116937817.70869543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-248800.47137658359</v>
      </c>
      <c r="J439" s="288">
        <f>'Resultater - Vestdanmark'!J439+'Resultater - Østdanmark'!J439</f>
        <v>-244046.3621976618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47384.943038059275</v>
      </c>
      <c r="J440" s="282">
        <f>'Resultater - Vestdanmark'!J440+'Resultater - Østdanmark'!J440</f>
        <v>48934.421828019105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72263542.273224667</v>
      </c>
      <c r="J441" s="282">
        <f>'Resultater - Vestdanmark'!J441+'Resultater - Østdanmark'!J441</f>
        <v>75720860.032909796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74480686.960000008</v>
      </c>
      <c r="J445" s="282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38439586.355437025</v>
      </c>
      <c r="J451" s="282">
        <f>'Resultater - Vestdanmark'!J451+'Resultater - Østdanmark'!J451</f>
        <v>40045479.800409868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19767884.980272148</v>
      </c>
      <c r="J452" s="288">
        <f ca="1">'Resultater - Vestdanmark'!J452+'Resultater - Østdanmark'!J452</f>
        <v>19494527.084190909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34394000.270147577</v>
      </c>
      <c r="J453" s="288">
        <f>'Resultater - Vestdanmark'!J453+'Resultater - Østdanmark'!J453</f>
        <v>32928009.296127297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14151036.51556043</v>
      </c>
      <c r="J454" s="288">
        <f>'Resultater - Vestdanmark'!J454+'Resultater - Østdanmark'!J454</f>
        <v>13880636.816485681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19171.007488680472</v>
      </c>
      <c r="J455" s="288">
        <f>'Resultater - Vestdanmark'!J455+'Resultater - Østdanmark'!J455</f>
        <v>19797.895854084065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6383279.5674681785</v>
      </c>
      <c r="J456" s="288">
        <f>'Resultater - Vestdanmark'!J456+'Resultater - Østdanmark'!J456</f>
        <v>6688675.969573698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117737235.03762516</v>
      </c>
      <c r="J457" s="288">
        <f ca="1">'Resultater - Vestdanmark'!J457+'Resultater - Østdanmark'!J457</f>
        <v>114841624.75445332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200095693.57772002</v>
      </c>
      <c r="J458" s="288">
        <f ca="1">'Resultater - Vestdanmark'!J458+'Resultater - Østdanmark'!J458</f>
        <v>193790064.98892063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22.141657384641213</v>
      </c>
      <c r="J459" s="292">
        <f>'Resultater - Vestdanmark'!J459+'Resultater - Østdanmark'!J459</f>
        <v>21.083253543160303</v>
      </c>
      <c r="L459" s="170" t="s">
        <v>217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3.951047127829578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221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218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219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220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19.350563058967378</v>
      </c>
      <c r="J467" s="295">
        <f ca="1">'Resultater - Vestdanmark'!J467+'Resultater - Østdanmark'!J467</f>
        <v>19.325434207055558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="106" workbookViewId="0">
      <pane xSplit="5" ySplit="2" topLeftCell="Q3" activePane="bottomRight" state="frozen"/>
      <selection pane="topRight" activeCell="F1" sqref="F1"/>
      <selection pane="bottomLeft" activeCell="A3" sqref="A3"/>
      <selection pane="bottomRight" activeCell="G183" activeCellId="1" sqref="G39 G183"/>
    </sheetView>
  </sheetViews>
  <sheetFormatPr defaultColWidth="18" defaultRowHeight="15" x14ac:dyDescent="0.25"/>
  <cols>
    <col min="1" max="2" width="18.140625" style="192" bestFit="1" customWidth="1"/>
    <col min="3" max="3" width="8.140625" style="192" bestFit="1" customWidth="1"/>
    <col min="4" max="4" width="7.85546875" style="192" customWidth="1"/>
    <col min="5" max="5" width="11.140625" style="192" bestFit="1" customWidth="1"/>
    <col min="6" max="6" width="14.28515625" style="192" bestFit="1" customWidth="1"/>
    <col min="7" max="7" width="10.7109375" style="192" bestFit="1" customWidth="1"/>
    <col min="8" max="8" width="11.7109375" style="192" bestFit="1" customWidth="1"/>
    <col min="9" max="9" width="9" style="192" bestFit="1" customWidth="1"/>
    <col min="10" max="11" width="9.5703125" style="192" bestFit="1" customWidth="1"/>
    <col min="12" max="12" width="10.5703125" style="192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56" t="s">
        <v>254</v>
      </c>
      <c r="B1" s="356"/>
      <c r="C1" s="356"/>
      <c r="F1" s="357" t="s">
        <v>256</v>
      </c>
      <c r="G1" s="357"/>
      <c r="H1" s="357"/>
      <c r="I1" s="357"/>
      <c r="J1" s="357"/>
      <c r="K1" s="357"/>
      <c r="L1" s="357"/>
      <c r="M1" s="358"/>
      <c r="N1" s="359" t="s">
        <v>257</v>
      </c>
      <c r="O1" s="360"/>
      <c r="P1" s="361"/>
      <c r="Q1" s="353" t="s">
        <v>123</v>
      </c>
      <c r="R1" s="353"/>
      <c r="S1" s="353"/>
      <c r="T1" s="354"/>
      <c r="U1" s="355" t="s">
        <v>231</v>
      </c>
      <c r="V1" s="353"/>
      <c r="W1" s="353"/>
      <c r="X1" s="354"/>
    </row>
    <row r="2" spans="1:26" x14ac:dyDescent="0.25">
      <c r="A2" s="199" t="s">
        <v>129</v>
      </c>
      <c r="B2" s="199" t="s">
        <v>321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225</v>
      </c>
      <c r="N2" s="202" t="s">
        <v>255</v>
      </c>
      <c r="O2" s="199" t="s">
        <v>131</v>
      </c>
      <c r="P2" s="203" t="s">
        <v>192</v>
      </c>
      <c r="Q2" s="199" t="s">
        <v>132</v>
      </c>
      <c r="R2" s="199" t="s">
        <v>234</v>
      </c>
      <c r="S2" s="199" t="s">
        <v>235</v>
      </c>
      <c r="T2" s="201" t="s">
        <v>294</v>
      </c>
      <c r="U2" s="200" t="s">
        <v>237</v>
      </c>
      <c r="V2" s="199" t="s">
        <v>236</v>
      </c>
      <c r="W2" s="199" t="s">
        <v>238</v>
      </c>
      <c r="X2" s="201" t="s">
        <v>293</v>
      </c>
      <c r="Y2" s="95" t="s">
        <v>288</v>
      </c>
      <c r="Z2" s="199" t="s">
        <v>310</v>
      </c>
    </row>
    <row r="3" spans="1:26" hidden="1" x14ac:dyDescent="0.25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O3*IFERROR(VLOOKUP(A3,[1]Tørstofindhold!A$2:B$24,2,FALSE),0)</f>
        <v>0</v>
      </c>
      <c r="V3" s="192">
        <f>IF(D3=År1,P3,SUM(O3,P3))*IFERROR(VLOOKUP(A3,[1]Tørstofindhold!A$2:B$24,2,FALSE),0)</f>
        <v>0</v>
      </c>
      <c r="W3" s="192">
        <f>J3*IFERROR(VLOOKUP(A3,[1]Tørstofindhold!A$2:B$24,2,FALSE),0)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O4*IFERROR(VLOOKUP(A4,[1]Tørstofindhold!A$2:B$24,2,FALSE),0)</f>
        <v>0</v>
      </c>
      <c r="V4" s="192">
        <f>IF(D4=År1,P4,SUM(O4,P4))*IFERROR(VLOOKUP(A4,[1]Tørstofindhold!A$2:B$24,2,FALSE),0)</f>
        <v>0</v>
      </c>
      <c r="W4" s="192">
        <f>J4*IFERROR(VLOOKUP(A4,[1]Tørstofindhold!A$2:B$24,2,FALSE),0)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4" t="s">
        <v>103</v>
      </c>
      <c r="B5" s="194" t="s">
        <v>232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O5*IFERROR(VLOOKUP(A5,[1]Tørstofindhold!A$2:B$24,2,FALSE),0)</f>
        <v>0</v>
      </c>
      <c r="V5" s="192">
        <f ca="1">IF(D5=År1,P5,SUM(O5,P5))*IFERROR(VLOOKUP(A5,[1]Tørstofindhold!A$2:B$24,2,FALSE),0)</f>
        <v>110192.22039498243</v>
      </c>
      <c r="W5" s="192">
        <f ca="1">J5*IFERROR(VLOOKUP(A5,[1]Tørstofindhold!A$2:B$24,2,FALSE),0)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hidden="1" x14ac:dyDescent="0.25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O6*IFERROR(VLOOKUP(A6,[1]Tørstofindhold!A$2:B$24,2,FALSE),0)</f>
        <v>0</v>
      </c>
      <c r="V6" s="192">
        <f ca="1">IF(D6=År1,P6,SUM(O6,P6))*IFERROR(VLOOKUP(A6,[1]Tørstofindhold!A$2:B$24,2,FALSE),0)</f>
        <v>0</v>
      </c>
      <c r="W6" s="192">
        <f>J6*IFERROR(VLOOKUP(A6,[1]Tørstofindhold!A$2:B$24,2,FALSE),0)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O7*IFERROR(VLOOKUP(A7,[1]Tørstofindhold!A$2:B$24,2,FALSE),0)</f>
        <v>0</v>
      </c>
      <c r="V7" s="192">
        <f>IF(D7=År1,P7,SUM(O7,P7))*IFERROR(VLOOKUP(A7,[1]Tørstofindhold!A$2:B$24,2,FALSE),0)</f>
        <v>0</v>
      </c>
      <c r="W7" s="192">
        <f>J7*IFERROR(VLOOKUP(A7,[1]Tørstofindhold!A$2:B$24,2,FALSE),0)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hidden="1" x14ac:dyDescent="0.25">
      <c r="A8" s="194" t="s">
        <v>210</v>
      </c>
      <c r="B8" s="194" t="s">
        <v>232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O8*IFERROR(VLOOKUP(A8,[1]Tørstofindhold!A$2:B$24,2,FALSE),0)</f>
        <v>0</v>
      </c>
      <c r="V8" s="192">
        <f>IF(D8=År1,P8,SUM(O8,P8))*IFERROR(VLOOKUP(A8,[1]Tørstofindhold!A$2:B$24,2,FALSE),0)</f>
        <v>0</v>
      </c>
      <c r="W8" s="192">
        <f>J8*IFERROR(VLOOKUP(A8,[1]Tørstofindhold!A$2:B$24,2,FALSE),0)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2" t="s">
        <v>102</v>
      </c>
      <c r="B9" s="194" t="s">
        <v>224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O9*IFERROR(VLOOKUP(A9,[1]Tørstofindhold!A$2:B$24,2,FALSE),0)</f>
        <v>359642.22916334897</v>
      </c>
      <c r="V9" s="192">
        <f>IF(D9=År1,P9,SUM(O9,P9))*IFERROR(VLOOKUP(A9,[1]Tørstofindhold!A$2:B$24,2,FALSE),0)</f>
        <v>201358.40146508775</v>
      </c>
      <c r="W9" s="192">
        <f>J9*IFERROR(VLOOKUP(A9,[1]Tørstofindhold!A$2:B$24,2,FALSE),0)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O10*IFERROR(VLOOKUP(A10,[1]Tørstofindhold!A$2:B$24,2,FALSE),0)</f>
        <v>0</v>
      </c>
      <c r="V10" s="192">
        <f>IF(D10=År1,P10,SUM(O10,P10))*IFERROR(VLOOKUP(A10,[1]Tørstofindhold!A$2:B$24,2,FALSE),0)</f>
        <v>0</v>
      </c>
      <c r="W10" s="192">
        <f>J10*IFERROR(VLOOKUP(A10,[1]Tørstofindhold!A$2:B$24,2,FALSE),0)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2" t="s">
        <v>138</v>
      </c>
      <c r="B11" s="194" t="s">
        <v>224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O11*IFERROR(VLOOKUP(A11,[1]Tørstofindhold!A$2:B$24,2,FALSE),0)</f>
        <v>62.788234524127645</v>
      </c>
      <c r="V11" s="192">
        <f>IF(D11=År1,P11,SUM(O11,P11))*IFERROR(VLOOKUP(A11,[1]Tørstofindhold!A$2:B$24,2,FALSE),0)</f>
        <v>258.53978921699621</v>
      </c>
      <c r="W11" s="192">
        <f>J11*IFERROR(VLOOKUP(A11,[1]Tørstofindhold!A$2:B$24,2,FALSE),0)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hidden="1" x14ac:dyDescent="0.25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O12*IFERROR(VLOOKUP(A12,[1]Tørstofindhold!A$2:B$24,2,FALSE),0)</f>
        <v>0</v>
      </c>
      <c r="V12" s="192">
        <f>IF(D12=År1,P12,SUM(O12,P12))*IFERROR(VLOOKUP(A12,[1]Tørstofindhold!A$2:B$24,2,FALSE),0)</f>
        <v>0</v>
      </c>
      <c r="W12" s="192">
        <f>J12*IFERROR(VLOOKUP(A12,[1]Tørstofindhold!A$2:B$24,2,FALSE),0)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O13*IFERROR(VLOOKUP(A13,[1]Tørstofindhold!A$2:B$24,2,FALSE),0)</f>
        <v>0</v>
      </c>
      <c r="V13" s="192">
        <f>IF(D13=År1,P13,SUM(O13,P13))*IFERROR(VLOOKUP(A13,[1]Tørstofindhold!A$2:B$24,2,FALSE),0)</f>
        <v>0</v>
      </c>
      <c r="W13" s="192">
        <f>J13*IFERROR(VLOOKUP(A13,[1]Tørstofindhold!A$2:B$24,2,FALSE),0)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O14*IFERROR(VLOOKUP(A14,[1]Tørstofindhold!A$2:B$24,2,FALSE),0)</f>
        <v>0</v>
      </c>
      <c r="V14" s="192">
        <f>IF(D14=År1,P14,SUM(O14,P14))*IFERROR(VLOOKUP(A14,[1]Tørstofindhold!A$2:B$24,2,FALSE),0)</f>
        <v>0</v>
      </c>
      <c r="W14" s="192">
        <f>J14*IFERROR(VLOOKUP(A14,[1]Tørstofindhold!A$2:B$24,2,FALSE),0)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O15*IFERROR(VLOOKUP(A15,[1]Tørstofindhold!A$2:B$24,2,FALSE),0)</f>
        <v>0</v>
      </c>
      <c r="V15" s="192">
        <f>IF(D15=År1,P15,SUM(O15,P15))*IFERROR(VLOOKUP(A15,[1]Tørstofindhold!A$2:B$24,2,FALSE),0)</f>
        <v>102774.24</v>
      </c>
      <c r="W15" s="192">
        <f>J15*IFERROR(VLOOKUP(A15,[1]Tørstofindhold!A$2:B$24,2,FALSE),0)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4" t="s">
        <v>51</v>
      </c>
      <c r="B16" s="194" t="s">
        <v>226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O16*IFERROR(VLOOKUP(A16,[1]Tørstofindhold!A$2:B$24,2,FALSE),0)</f>
        <v>994049.13870830298</v>
      </c>
      <c r="V16" s="192">
        <f>IF(D16=År1,P16,SUM(O16,P16))*IFERROR(VLOOKUP(A16,[1]Tørstofindhold!A$2:B$24,2,FALSE),0)</f>
        <v>21208.925891905561</v>
      </c>
      <c r="W16" s="192">
        <f>J16*IFERROR(VLOOKUP(A16,[1]Tørstofindhold!A$2:B$24,2,FALSE),0)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O17*IFERROR(VLOOKUP(A17,[1]Tørstofindhold!A$2:B$24,2,FALSE),0)</f>
        <v>0</v>
      </c>
      <c r="V17" s="192">
        <f>IF(D17=År1,P17,SUM(O17,P17))*IFERROR(VLOOKUP(A17,[1]Tørstofindhold!A$2:B$24,2,FALSE),0)</f>
        <v>0</v>
      </c>
      <c r="W17" s="192">
        <f>J17*IFERROR(VLOOKUP(A17,[1]Tørstofindhold!A$2:B$24,2,FALSE),0)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O18*IFERROR(VLOOKUP(A18,[1]Tørstofindhold!A$2:B$24,2,FALSE),0)</f>
        <v>0</v>
      </c>
      <c r="V18" s="192">
        <f>IF(D18=År1,P18,SUM(O18,P18))*IFERROR(VLOOKUP(A18,[1]Tørstofindhold!A$2:B$24,2,FALSE),0)</f>
        <v>0</v>
      </c>
      <c r="W18" s="192">
        <f>J18*IFERROR(VLOOKUP(A18,[1]Tørstofindhold!A$2:B$24,2,FALSE),0)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4" t="s">
        <v>68</v>
      </c>
      <c r="B19" s="194" t="s">
        <v>229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O19*IFERROR(VLOOKUP(A19,[1]Tørstofindhold!A$2:B$24,2,FALSE),0)</f>
        <v>0</v>
      </c>
      <c r="V19" s="192">
        <f>IF(D19=År1,P19,SUM(O19,P19))*IFERROR(VLOOKUP(A19,[1]Tørstofindhold!A$2:B$24,2,FALSE),0)</f>
        <v>1030819.8252529224</v>
      </c>
      <c r="W19" s="192">
        <f>J19*IFERROR(VLOOKUP(A19,[1]Tørstofindhold!A$2:B$24,2,FALSE),0)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4" t="s">
        <v>163</v>
      </c>
      <c r="B20" s="194" t="s">
        <v>232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O20*IFERROR(VLOOKUP(A20,[1]Tørstofindhold!A$2:B$24,2,FALSE),0)</f>
        <v>0</v>
      </c>
      <c r="V20" s="192">
        <f>IF(D20=År1,P20,SUM(O20,P20))*IFERROR(VLOOKUP(A20,[1]Tørstofindhold!A$2:B$24,2,FALSE),0)</f>
        <v>159138.74629869961</v>
      </c>
      <c r="W20" s="192">
        <f>J20*IFERROR(VLOOKUP(A20,[1]Tørstofindhold!A$2:B$24,2,FALSE),0)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O21*IFERROR(VLOOKUP(A21,[1]Tørstofindhold!A$2:B$24,2,FALSE),0)</f>
        <v>0</v>
      </c>
      <c r="V21" s="192">
        <f>IF(D21=År1,P21,SUM(O21,P21))*IFERROR(VLOOKUP(A21,[1]Tørstofindhold!A$2:B$24,2,FALSE),0)</f>
        <v>0</v>
      </c>
      <c r="W21" s="192">
        <f>J21*IFERROR(VLOOKUP(A21,[1]Tørstofindhold!A$2:B$24,2,FALSE),0)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4" t="s">
        <v>104</v>
      </c>
      <c r="B22" s="194" t="s">
        <v>232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O22*IFERROR(VLOOKUP(A22,[1]Tørstofindhold!A$2:B$24,2,FALSE),0)</f>
        <v>0</v>
      </c>
      <c r="V22" s="192">
        <f>IF(D22=År1,P22,SUM(O22,P22))*IFERROR(VLOOKUP(A22,[1]Tørstofindhold!A$2:B$24,2,FALSE),0)</f>
        <v>300763.57585499104</v>
      </c>
      <c r="W22" s="192">
        <f>J22*IFERROR(VLOOKUP(A22,[1]Tørstofindhold!A$2:B$24,2,FALSE),0)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O23*IFERROR(VLOOKUP(A23,[1]Tørstofindhold!A$2:B$24,2,FALSE),0)</f>
        <v>0</v>
      </c>
      <c r="V23" s="192">
        <f>IF(D23=År1,P23,SUM(O23,P23))*IFERROR(VLOOKUP(A23,[1]Tørstofindhold!A$2:B$24,2,FALSE),0)</f>
        <v>0</v>
      </c>
      <c r="W23" s="192">
        <f>J23*IFERROR(VLOOKUP(A23,[1]Tørstofindhold!A$2:B$24,2,FALSE),0)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O24*IFERROR(VLOOKUP(A24,[1]Tørstofindhold!A$2:B$24,2,FALSE),0)</f>
        <v>0</v>
      </c>
      <c r="V24" s="192">
        <f>IF(D24=År1,P24,SUM(O24,P24))*IFERROR(VLOOKUP(A24,[1]Tørstofindhold!A$2:B$24,2,FALSE),0)</f>
        <v>0</v>
      </c>
      <c r="W24" s="192">
        <f>J24*IFERROR(VLOOKUP(A24,[1]Tørstofindhold!A$2:B$24,2,FALSE),0)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4" t="s">
        <v>48</v>
      </c>
      <c r="B25" s="194" t="s">
        <v>229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O25*IFERROR(VLOOKUP(A25,[1]Tørstofindhold!A$2:B$24,2,FALSE),0)</f>
        <v>206337.459594888</v>
      </c>
      <c r="V25" s="192">
        <f>IF(D25=År1,P25,SUM(O25,P25))*IFERROR(VLOOKUP(A25,[1]Tørstofindhold!A$2:B$24,2,FALSE),0)</f>
        <v>880.45745202057424</v>
      </c>
      <c r="W25" s="192">
        <f>J25*IFERROR(VLOOKUP(A25,[1]Tørstofindhold!A$2:B$24,2,FALSE),0)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O26*IFERROR(VLOOKUP(A26,[1]Tørstofindhold!A$2:B$24,2,FALSE),0)</f>
        <v>0</v>
      </c>
      <c r="V26" s="192">
        <f>IF(D26=År1,P26,SUM(O26,P26))*IFERROR(VLOOKUP(A26,[1]Tørstofindhold!A$2:B$24,2,FALSE),0)</f>
        <v>0</v>
      </c>
      <c r="W26" s="192">
        <f>J26*IFERROR(VLOOKUP(A26,[1]Tørstofindhold!A$2:B$24,2,FALSE),0)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hidden="1" x14ac:dyDescent="0.25">
      <c r="A27" s="194" t="s">
        <v>137</v>
      </c>
      <c r="B27" s="194" t="s">
        <v>224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O27*IFERROR(VLOOKUP(A27,[1]Tørstofindhold!A$2:B$24,2,FALSE),0)</f>
        <v>232339.01261192418</v>
      </c>
      <c r="V27" s="192">
        <f>IF(D27=År1,P27,SUM(O27,P27))*IFERROR(VLOOKUP(A27,[1]Tørstofindhold!A$2:B$24,2,FALSE),0)</f>
        <v>309081.71011804708</v>
      </c>
      <c r="W27" s="192">
        <f>J27*IFERROR(VLOOKUP(A27,[1]Tørstofindhold!A$2:B$24,2,FALSE),0)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hidden="1" x14ac:dyDescent="0.25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O28*IFERROR(VLOOKUP(A28,[1]Tørstofindhold!A$2:B$24,2,FALSE),0)</f>
        <v>0</v>
      </c>
      <c r="V28" s="192">
        <f>IF(D28=År1,P28,SUM(O28,P28))*IFERROR(VLOOKUP(A28,[1]Tørstofindhold!A$2:B$24,2,FALSE),0)</f>
        <v>0</v>
      </c>
      <c r="W28" s="192">
        <f>J28*IFERROR(VLOOKUP(A28,[1]Tørstofindhold!A$2:B$24,2,FALSE),0)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2" t="s">
        <v>53</v>
      </c>
      <c r="B29" s="194" t="s">
        <v>226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O29*IFERROR(VLOOKUP(A29,[1]Tørstofindhold!A$2:B$24,2,FALSE),0)</f>
        <v>379878.67388024763</v>
      </c>
      <c r="V29" s="192">
        <f>IF(D29=År1,P29,SUM(O29,P29))*IFERROR(VLOOKUP(A29,[1]Tørstofindhold!A$2:B$24,2,FALSE),0)</f>
        <v>94446.430479468312</v>
      </c>
      <c r="W29" s="192">
        <f>J29*IFERROR(VLOOKUP(A29,[1]Tørstofindhold!A$2:B$24,2,FALSE),0)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O30*IFERROR(VLOOKUP(A30,[1]Tørstofindhold!A$2:B$24,2,FALSE),0)</f>
        <v>0</v>
      </c>
      <c r="V30" s="192">
        <f>IF(D30=År1,P30,SUM(O30,P30))*IFERROR(VLOOKUP(A30,[1]Tørstofindhold!A$2:B$24,2,FALSE),0)</f>
        <v>0</v>
      </c>
      <c r="W30" s="192">
        <f>J30*IFERROR(VLOOKUP(A30,[1]Tørstofindhold!A$2:B$24,2,FALSE),0)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4" t="s">
        <v>107</v>
      </c>
      <c r="B31" s="194" t="s">
        <v>228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O31*IFERROR(VLOOKUP(A31,[1]Tørstofindhold!A$2:B$24,2,FALSE),0)</f>
        <v>131.83534701746427</v>
      </c>
      <c r="V31" s="192">
        <f>IF(D31=År1,P31,SUM(O31,P31))*IFERROR(VLOOKUP(A31,[1]Tørstofindhold!A$2:B$24,2,FALSE),0)</f>
        <v>0</v>
      </c>
      <c r="W31" s="192">
        <f>J31*IFERROR(VLOOKUP(A31,[1]Tørstofindhold!A$2:B$24,2,FALSE),0)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O32*IFERROR(VLOOKUP(A32,[1]Tørstofindhold!A$2:B$24,2,FALSE),0)</f>
        <v>0</v>
      </c>
      <c r="V32" s="192">
        <f>IF(D32=År1,P32,SUM(O32,P32))*IFERROR(VLOOKUP(A32,[1]Tørstofindhold!A$2:B$24,2,FALSE),0)</f>
        <v>0</v>
      </c>
      <c r="W32" s="192">
        <f>J32*IFERROR(VLOOKUP(A32,[1]Tørstofindhold!A$2:B$24,2,FALSE),0)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O33*IFERROR(VLOOKUP(A33,[1]Tørstofindhold!A$2:B$24,2,FALSE),0)</f>
        <v>0</v>
      </c>
      <c r="V33" s="192">
        <f>IF(D33=År1,P33,SUM(O33,P33))*IFERROR(VLOOKUP(A33,[1]Tørstofindhold!A$2:B$24,2,FALSE),0)</f>
        <v>0</v>
      </c>
      <c r="W33" s="192">
        <f>J33*IFERROR(VLOOKUP(A33,[1]Tørstofindhold!A$2:B$24,2,FALSE),0)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4" t="s">
        <v>96</v>
      </c>
      <c r="B34" s="194" t="s">
        <v>227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O34*IFERROR(VLOOKUP(A34,[1]Tørstofindhold!A$2:B$24,2,FALSE),0)</f>
        <v>0</v>
      </c>
      <c r="V34" s="192">
        <f>IF(D34=År1,P34,SUM(O34,P34))*IFERROR(VLOOKUP(A34,[1]Tørstofindhold!A$2:B$24,2,FALSE),0)</f>
        <v>71465.1029917407</v>
      </c>
      <c r="W34" s="192">
        <f>J34*IFERROR(VLOOKUP(A34,[1]Tørstofindhold!A$2:B$24,2,FALSE),0)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4" t="s">
        <v>316</v>
      </c>
      <c r="B35" s="194" t="s">
        <v>322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O35*IFERROR(VLOOKUP(A35,[1]Tørstofindhold!A$2:B$24,2,FALSE),0)</f>
        <v>0</v>
      </c>
      <c r="V35" s="192">
        <f>IF(D35=År1,P35,SUM(O35,P35))*IFERROR(VLOOKUP(A35,[1]Tørstofindhold!A$2:B$24,2,FALSE),0)</f>
        <v>0</v>
      </c>
      <c r="W35" s="192">
        <f>J35*IFERROR(VLOOKUP(A35,[1]Tørstofindhold!A$2:B$24,2,FALSE),0)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4" t="s">
        <v>317</v>
      </c>
      <c r="B36" s="194" t="s">
        <v>322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O36*IFERROR(VLOOKUP(A36,[1]Tørstofindhold!A$2:B$24,2,FALSE),0)</f>
        <v>0</v>
      </c>
      <c r="V36" s="192">
        <f>IF(D36=År1,P36,SUM(O36,P36))*IFERROR(VLOOKUP(A36,[1]Tørstofindhold!A$2:B$24,2,FALSE),0)</f>
        <v>0</v>
      </c>
      <c r="W36" s="192">
        <f>J36*IFERROR(VLOOKUP(A36,[1]Tørstofindhold!A$2:B$24,2,FALSE),0)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O37*IFERROR(VLOOKUP(A37,[1]Tørstofindhold!A$2:B$24,2,FALSE),0)</f>
        <v>0</v>
      </c>
      <c r="V37" s="192">
        <f>IF(D37=År1,P37,SUM(O37,P37))*IFERROR(VLOOKUP(A37,[1]Tørstofindhold!A$2:B$24,2,FALSE),0)</f>
        <v>0</v>
      </c>
      <c r="W37" s="192">
        <f>J37*IFERROR(VLOOKUP(A37,[1]Tørstofindhold!A$2:B$24,2,FALSE),0)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O38*IFERROR(VLOOKUP(A38,[1]Tørstofindhold!A$2:B$24,2,FALSE),0)</f>
        <v>0</v>
      </c>
      <c r="V38" s="192">
        <f>IF(D38=År1,P38,SUM(O38,P38))*IFERROR(VLOOKUP(A38,[1]Tørstofindhold!A$2:B$24,2,FALSE),0)</f>
        <v>0</v>
      </c>
      <c r="W38" s="192">
        <f>J38*IFERROR(VLOOKUP(A38,[1]Tørstofindhold!A$2:B$24,2,FALSE),0)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2" t="s">
        <v>240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O39*IFERROR(VLOOKUP(A39,[1]Tørstofindhold!A$2:B$24,2,FALSE),0)</f>
        <v>0</v>
      </c>
      <c r="V39" s="192">
        <f>IF(D39=År1,P39,SUM(O39,P39))*IFERROR(VLOOKUP(A39,[1]Tørstofindhold!A$2:B$24,2,FALSE),0)</f>
        <v>0</v>
      </c>
      <c r="W39" s="192">
        <f>J39*IFERROR(VLOOKUP(A39,[1]Tørstofindhold!A$2:B$24,2,FALSE),0)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2" t="s">
        <v>233</v>
      </c>
      <c r="B40" s="194" t="s">
        <v>233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4">
        <f t="shared" si="9"/>
        <v>0</v>
      </c>
      <c r="O40" s="195">
        <f t="shared" si="1"/>
        <v>0</v>
      </c>
      <c r="P40" s="205">
        <f t="shared" si="10"/>
        <v>80676.325166481722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2.8236713808268599</v>
      </c>
      <c r="U40" s="191">
        <f>O40*IFERROR(VLOOKUP(A40,[1]Tørstofindhold!A$2:B$24,2,FALSE),0)</f>
        <v>0</v>
      </c>
      <c r="V40" s="192">
        <f>IF(D40=År1,P40,SUM(O40,P40))*IFERROR(VLOOKUP(A40,[1]Tørstofindhold!A$2:B$24,2,FALSE),0)</f>
        <v>0</v>
      </c>
      <c r="W40" s="192">
        <f>J40*IFERROR(VLOOKUP(A40,[1]Tørstofindhold!A$2:B$24,2,FALSE),0)</f>
        <v>0</v>
      </c>
      <c r="X40" s="193">
        <f t="shared" si="12"/>
        <v>0</v>
      </c>
      <c r="Y40" s="171">
        <f t="shared" si="2"/>
        <v>0</v>
      </c>
      <c r="Z40" s="103">
        <f t="shared" si="3"/>
        <v>0</v>
      </c>
    </row>
    <row r="41" spans="1:26" hidden="1" x14ac:dyDescent="0.25">
      <c r="A41" s="192" t="s">
        <v>52</v>
      </c>
      <c r="B41" s="194" t="s">
        <v>226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O41*IFERROR(VLOOKUP(A41,[1]Tørstofindhold!A$2:B$24,2,FALSE),0)</f>
        <v>0</v>
      </c>
      <c r="V41" s="192">
        <f>IF(D41=År1,P41,SUM(O41,P41))*IFERROR(VLOOKUP(A41,[1]Tørstofindhold!A$2:B$24,2,FALSE),0)</f>
        <v>820.20978483944555</v>
      </c>
      <c r="W41" s="192">
        <f>J41*IFERROR(VLOOKUP(A41,[1]Tørstofindhold!A$2:B$24,2,FALSE),0)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O42*IFERROR(VLOOKUP(A42,[1]Tørstofindhold!A$2:B$24,2,FALSE),0)</f>
        <v>0</v>
      </c>
      <c r="V42" s="192">
        <f>IF(D42=År1,P42,SUM(O42,P42))*IFERROR(VLOOKUP(A42,[1]Tørstofindhold!A$2:B$24,2,FALSE),0)</f>
        <v>0</v>
      </c>
      <c r="W42" s="192">
        <f>J42*IFERROR(VLOOKUP(A42,[1]Tørstofindhold!A$2:B$24,2,FALSE),0)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O43*IFERROR(VLOOKUP(A43,[1]Tørstofindhold!A$2:B$24,2,FALSE),0)</f>
        <v>0</v>
      </c>
      <c r="V43" s="192">
        <f>IF(D43=År1,P43,SUM(O43,P43))*IFERROR(VLOOKUP(A43,[1]Tørstofindhold!A$2:B$24,2,FALSE),0)</f>
        <v>0</v>
      </c>
      <c r="W43" s="192">
        <f>J43*IFERROR(VLOOKUP(A43,[1]Tørstofindhold!A$2:B$24,2,FALSE),0)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4" t="s">
        <v>141</v>
      </c>
      <c r="B44" s="194" t="s">
        <v>232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O44*IFERROR(VLOOKUP(A44,[1]Tørstofindhold!A$2:B$24,2,FALSE),0)</f>
        <v>143400.83716653602</v>
      </c>
      <c r="V44" s="192">
        <f>IF(D44=År1,P44,SUM(O44,P44))*IFERROR(VLOOKUP(A44,[1]Tørstofindhold!A$2:B$24,2,FALSE),0)</f>
        <v>87610.955247949008</v>
      </c>
      <c r="W44" s="192">
        <f>J44*IFERROR(VLOOKUP(A44,[1]Tørstofindhold!A$2:B$24,2,FALSE),0)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4" t="s">
        <v>136</v>
      </c>
      <c r="B45" s="194" t="s">
        <v>224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O45*IFERROR(VLOOKUP(A45,[1]Tørstofindhold!A$2:B$24,2,FALSE),0)</f>
        <v>0</v>
      </c>
      <c r="V45" s="192">
        <f>IF(D45=År1,P45,SUM(O45,P45))*IFERROR(VLOOKUP(A45,[1]Tørstofindhold!A$2:B$24,2,FALSE),0)</f>
        <v>126722.10364886111</v>
      </c>
      <c r="W45" s="192">
        <f>J45*IFERROR(VLOOKUP(A45,[1]Tørstofindhold!A$2:B$24,2,FALSE),0)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O46*IFERROR(VLOOKUP(A46,[1]Tørstofindhold!A$2:B$24,2,FALSE),0)</f>
        <v>0</v>
      </c>
      <c r="V46" s="192">
        <f>IF(D46=År1,P46,SUM(O46,P46))*IFERROR(VLOOKUP(A46,[1]Tørstofindhold!A$2:B$24,2,FALSE),0)</f>
        <v>0</v>
      </c>
      <c r="W46" s="192">
        <f>J46*IFERROR(VLOOKUP(A46,[1]Tørstofindhold!A$2:B$24,2,FALSE),0)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4" t="s">
        <v>100</v>
      </c>
      <c r="B47" s="194" t="s">
        <v>228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O47*IFERROR(VLOOKUP(A47,[1]Tørstofindhold!A$2:B$24,2,FALSE),0)</f>
        <v>11.475</v>
      </c>
      <c r="V47" s="192">
        <f>IF(D47=År1,P47,SUM(O47,P47))*IFERROR(VLOOKUP(A47,[1]Tørstofindhold!A$2:B$24,2,FALSE),0)</f>
        <v>0</v>
      </c>
      <c r="W47" s="192">
        <f>J47*IFERROR(VLOOKUP(A47,[1]Tørstofindhold!A$2:B$24,2,FALSE),0)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O48*IFERROR(VLOOKUP(A48,[1]Tørstofindhold!A$2:B$24,2,FALSE),0)</f>
        <v>0</v>
      </c>
      <c r="V48" s="192">
        <f>IF(D48=År1,P48,SUM(O48,P48))*IFERROR(VLOOKUP(A48,[1]Tørstofindhold!A$2:B$24,2,FALSE),0)</f>
        <v>0</v>
      </c>
      <c r="W48" s="192">
        <f>J48*IFERROR(VLOOKUP(A48,[1]Tørstofindhold!A$2:B$24,2,FALSE),0)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4" t="s">
        <v>120</v>
      </c>
      <c r="B49" s="194" t="s">
        <v>227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O49*IFERROR(VLOOKUP(A49,[1]Tørstofindhold!A$2:B$24,2,FALSE),0)</f>
        <v>0</v>
      </c>
      <c r="V49" s="192">
        <f>IF(D49=År1,P49,SUM(O49,P49))*IFERROR(VLOOKUP(A49,[1]Tørstofindhold!A$2:B$24,2,FALSE),0)</f>
        <v>1151704.3763715085</v>
      </c>
      <c r="W49" s="192">
        <f>J49*IFERROR(VLOOKUP(A49,[1]Tørstofindhold!A$2:B$24,2,FALSE),0)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O50*IFERROR(VLOOKUP(A50,[1]Tørstofindhold!A$2:B$24,2,FALSE),0)</f>
        <v>0</v>
      </c>
      <c r="V50" s="192">
        <f>IF(D50=År1,P50,SUM(O50,P50))*IFERROR(VLOOKUP(A50,[1]Tørstofindhold!A$2:B$24,2,FALSE),0)</f>
        <v>0</v>
      </c>
      <c r="W50" s="192">
        <f>J50*IFERROR(VLOOKUP(A50,[1]Tørstofindhold!A$2:B$24,2,FALSE),0)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hidden="1" x14ac:dyDescent="0.25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171033.55988230981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138453.77532930995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O51*IFERROR(VLOOKUP(A51,[1]Tørstofindhold!A$2:B$24,2,FALSE),0)</f>
        <v>0</v>
      </c>
      <c r="V51" s="192">
        <f>IF(D51=År1,P51,SUM(O51,P51))*IFERROR(VLOOKUP(A51,[1]Tørstofindhold!A$2:B$24,2,FALSE),0)</f>
        <v>0</v>
      </c>
      <c r="W51" s="192">
        <f>J51*IFERROR(VLOOKUP(A51,[1]Tørstofindhold!A$2:B$24,2,FALSE),0)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218519.66268109329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O52*IFERROR(VLOOKUP(A52,[1]Tørstofindhold!A$2:B$24,2,FALSE),0)</f>
        <v>0</v>
      </c>
      <c r="V52" s="192">
        <f>IF(D52=År1,P52,SUM(O52,P52))*IFERROR(VLOOKUP(A52,[1]Tørstofindhold!A$2:B$24,2,FALSE),0)</f>
        <v>0</v>
      </c>
      <c r="W52" s="192">
        <f>J52*IFERROR(VLOOKUP(A52,[1]Tørstofindhold!A$2:B$24,2,FALSE),0)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O53*IFERROR(VLOOKUP(A53,[1]Tørstofindhold!A$2:B$24,2,FALSE),0)</f>
        <v>0</v>
      </c>
      <c r="V53" s="192">
        <f ca="1">IF(D53=År1,P53,SUM(O53,P53))*IFERROR(VLOOKUP(A53,[1]Tørstofindhold!A$2:B$24,2,FALSE),0)</f>
        <v>54623.027516061207</v>
      </c>
      <c r="W53" s="192">
        <f ca="1">J53*IFERROR(VLOOKUP(A53,[1]Tørstofindhold!A$2:B$24,2,FALSE),0)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hidden="1" x14ac:dyDescent="0.25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436104134.24282026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436104134.24282026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436104134.24282026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O54*IFERROR(VLOOKUP(A54,[1]Tørstofindhold!A$2:B$24,2,FALSE),0)</f>
        <v>0</v>
      </c>
      <c r="V54" s="192">
        <f ca="1">IF(D54=År1,P54,SUM(O54,P54))*IFERROR(VLOOKUP(A54,[1]Tørstofindhold!A$2:B$24,2,FALSE),0)</f>
        <v>0</v>
      </c>
      <c r="W54" s="192">
        <f>J54*IFERROR(VLOOKUP(A54,[1]Tørstofindhold!A$2:B$24,2,FALSE),0)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16654690.164173149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14170727.436337013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2483962.7278361358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O55*IFERROR(VLOOKUP(A55,[1]Tørstofindhold!A$2:B$24,2,FALSE),0)</f>
        <v>0</v>
      </c>
      <c r="V55" s="192">
        <f>IF(D55=År1,P55,SUM(O55,P55))*IFERROR(VLOOKUP(A55,[1]Tørstofindhold!A$2:B$24,2,FALSE),0)</f>
        <v>0</v>
      </c>
      <c r="W55" s="192">
        <f>J55*IFERROR(VLOOKUP(A55,[1]Tørstofindhold!A$2:B$24,2,FALSE),0)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hidden="1" x14ac:dyDescent="0.25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O56*IFERROR(VLOOKUP(A56,[1]Tørstofindhold!A$2:B$24,2,FALSE),0)</f>
        <v>0</v>
      </c>
      <c r="V56" s="192">
        <f>IF(D56=År1,P56,SUM(O56,P56))*IFERROR(VLOOKUP(A56,[1]Tørstofindhold!A$2:B$24,2,FALSE),0)</f>
        <v>0</v>
      </c>
      <c r="W56" s="192">
        <f>J56*IFERROR(VLOOKUP(A56,[1]Tørstofindhold!A$2:B$24,2,FALSE),0)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hidden="1" x14ac:dyDescent="0.25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2122340.654767077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659441.56058834167</v>
      </c>
      <c r="O57" s="195">
        <f t="shared" si="1"/>
        <v>659441.56058834167</v>
      </c>
      <c r="P57" s="205">
        <f t="shared" si="10"/>
        <v>1061170.3273835385</v>
      </c>
      <c r="Q57" s="192">
        <f>IFERROR(VLOOKUP(A57,[1]Energiindhold!$A$2:$C$11,3,FALSE),IFERROR(VLOOKUP(A57,[1]Biogasudbytte!$A$2:$B$18,2,FALSE)*[1]Energiindhold!$C$10,0))*O57</f>
        <v>1.420437121507288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92">
        <f>IFERROR(VLOOKUP(A57,[1]Biogasudbytte!$A$2:$B$18,2,FALSE)*[1]Energiindhold!$C$10,0)*J57*IFERROR(VLOOKUP(A57,Biogasanlæg!$F$3:$G$8,2,FALSE),1)</f>
        <v>2.2857608851841418</v>
      </c>
      <c r="T57" s="193">
        <f t="shared" si="11"/>
        <v>1.420437121507288</v>
      </c>
      <c r="U57" s="191">
        <f>O57*IFERROR(VLOOKUP(A57,[1]Tørstofindhold!A$2:B$24,2,FALSE),0)</f>
        <v>197832.4681765025</v>
      </c>
      <c r="V57" s="192">
        <f>IF(D57=År1,P57,SUM(O57,P57))*IFERROR(VLOOKUP(A57,[1]Tørstofindhold!A$2:B$24,2,FALSE),0)</f>
        <v>516183.56639156403</v>
      </c>
      <c r="W57" s="192">
        <f>J57*IFERROR(VLOOKUP(A57,[1]Tørstofindhold!A$2:B$24,2,FALSE),0)</f>
        <v>318351.09821506153</v>
      </c>
      <c r="X57" s="193">
        <f t="shared" si="12"/>
        <v>197832.4681765025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O58*IFERROR(VLOOKUP(A58,[1]Tørstofindhold!A$2:B$24,2,FALSE),0)</f>
        <v>0</v>
      </c>
      <c r="V58" s="192">
        <f>IF(D58=År1,P58,SUM(O58,P58))*IFERROR(VLOOKUP(A58,[1]Tørstofindhold!A$2:B$24,2,FALSE),0)</f>
        <v>0</v>
      </c>
      <c r="W58" s="192">
        <f>J58*IFERROR(VLOOKUP(A58,[1]Tørstofindhold!A$2:B$24,2,FALSE),0)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hidden="1" x14ac:dyDescent="0.25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6674.1809084363849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2526.6542010509174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810.43625316727503</v>
      </c>
      <c r="O59" s="195">
        <f t="shared" si="1"/>
        <v>810.43625316727503</v>
      </c>
      <c r="P59" s="205">
        <f t="shared" si="10"/>
        <v>3337.0904542181925</v>
      </c>
      <c r="Q59" s="192">
        <f>IFERROR(VLOOKUP(A59,[1]Energiindhold!$A$2:$C$11,3,FALSE),IFERROR(VLOOKUP(A59,[1]Biogasudbytte!$A$2:$B$18,2,FALSE)*[1]Energiindhold!$C$10,0))*O59</f>
        <v>3.8114006550203779E-4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1.9505403352163115E-3</v>
      </c>
      <c r="S59" s="192">
        <f>IFERROR(VLOOKUP(A59,[1]Biogasudbytte!$A$2:$B$18,2,FALSE)*[1]Energiindhold!$C$10,0)*J59*IFERROR(VLOOKUP(A59,Biogasanlæg!$F$3:$G$8,2,FALSE),1)</f>
        <v>1.5694002697142738E-3</v>
      </c>
      <c r="T59" s="193">
        <f t="shared" si="11"/>
        <v>3.8114006550203769E-4</v>
      </c>
      <c r="U59" s="191">
        <f>O59*IFERROR(VLOOKUP(A59,[1]Tørstofindhold!A$2:B$24,2,FALSE),0)</f>
        <v>51.05748394953833</v>
      </c>
      <c r="V59" s="192">
        <f>IF(D59=År1,P59,SUM(O59,P59))*IFERROR(VLOOKUP(A59,[1]Tørstofindhold!A$2:B$24,2,FALSE),0)</f>
        <v>261.29418256528447</v>
      </c>
      <c r="W59" s="192">
        <f>J59*IFERROR(VLOOKUP(A59,[1]Tørstofindhold!A$2:B$24,2,FALSE),0)</f>
        <v>210.23669861574612</v>
      </c>
      <c r="X59" s="193">
        <f t="shared" si="12"/>
        <v>51.057483949538351</v>
      </c>
      <c r="Y59" s="171">
        <f t="shared" si="2"/>
        <v>0</v>
      </c>
      <c r="Z59" s="103">
        <f t="shared" si="3"/>
        <v>1</v>
      </c>
    </row>
    <row r="60" spans="1:26" hidden="1" x14ac:dyDescent="0.25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145303.11165081069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110008.34505172751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O60*IFERROR(VLOOKUP(A60,[1]Tørstofindhold!A$2:B$24,2,FALSE),0)</f>
        <v>0</v>
      </c>
      <c r="V60" s="192">
        <f>IF(D60=År1,P60,SUM(O60,P60))*IFERROR(VLOOKUP(A60,[1]Tørstofindhold!A$2:B$24,2,FALSE),0)</f>
        <v>0</v>
      </c>
      <c r="W60" s="192">
        <f>J60*IFERROR(VLOOKUP(A60,[1]Tørstofindhold!A$2:B$24,2,FALSE),0)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O61*IFERROR(VLOOKUP(A61,[1]Tørstofindhold!A$2:B$24,2,FALSE),0)</f>
        <v>0</v>
      </c>
      <c r="V61" s="192">
        <f>IF(D61=År1,P61,SUM(O61,P61))*IFERROR(VLOOKUP(A61,[1]Tørstofindhold!A$2:B$24,2,FALSE),0)</f>
        <v>0</v>
      </c>
      <c r="W61" s="192">
        <f>J61*IFERROR(VLOOKUP(A61,[1]Tørstofindhold!A$2:B$24,2,FALSE),0)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O62*IFERROR(VLOOKUP(A62,[1]Tørstofindhold!A$2:B$24,2,FALSE),0)</f>
        <v>0</v>
      </c>
      <c r="V62" s="192">
        <f>IF(D62=År1,P62,SUM(O62,P62))*IFERROR(VLOOKUP(A62,[1]Tørstofindhold!A$2:B$24,2,FALSE),0)</f>
        <v>0</v>
      </c>
      <c r="W62" s="192">
        <f>J62*IFERROR(VLOOKUP(A62,[1]Tørstofindhold!A$2:B$24,2,FALSE),0)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O63*IFERROR(VLOOKUP(A63,[1]Tørstofindhold!A$2:B$24,2,FALSE),0)</f>
        <v>0</v>
      </c>
      <c r="V63" s="192">
        <f>IF(D63=År1,P63,SUM(O63,P63))*IFERROR(VLOOKUP(A63,[1]Tørstofindhold!A$2:B$24,2,FALSE),0)</f>
        <v>102774.24</v>
      </c>
      <c r="W63" s="192">
        <f>J63*IFERROR(VLOOKUP(A63,[1]Tørstofindhold!A$2:B$24,2,FALSE),0)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6597597.615337275</v>
      </c>
      <c r="O64" s="195">
        <f t="shared" si="1"/>
        <v>6597597.615337275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12.138754912518669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12.138754912518669</v>
      </c>
      <c r="U64" s="191">
        <f>O64*IFERROR(VLOOKUP(A64,[1]Tørstofindhold!A$2:B$24,2,FALSE),0)</f>
        <v>1847327.3322944371</v>
      </c>
      <c r="V64" s="192">
        <f>IF(D64=År1,P64,SUM(O64,P64))*IFERROR(VLOOKUP(A64,[1]Tørstofindhold!A$2:B$24,2,FALSE),0)</f>
        <v>1868499.2689717831</v>
      </c>
      <c r="W64" s="192">
        <f>J64*IFERROR(VLOOKUP(A64,[1]Tørstofindhold!A$2:B$24,2,FALSE),0)</f>
        <v>21171.936677345977</v>
      </c>
      <c r="X64" s="193">
        <f t="shared" si="12"/>
        <v>1847327.3322944371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O65*IFERROR(VLOOKUP(A65,[1]Tørstofindhold!A$2:B$24,2,FALSE),0)</f>
        <v>0</v>
      </c>
      <c r="V65" s="192">
        <f>IF(D65=År1,P65,SUM(O65,P65))*IFERROR(VLOOKUP(A65,[1]Tørstofindhold!A$2:B$24,2,FALSE),0)</f>
        <v>0</v>
      </c>
      <c r="W65" s="192">
        <f>J65*IFERROR(VLOOKUP(A65,[1]Tørstofindhold!A$2:B$24,2,FALSE),0)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O66*IFERROR(VLOOKUP(A66,[1]Tørstofindhold!A$2:B$24,2,FALSE),0)</f>
        <v>0</v>
      </c>
      <c r="V66" s="192">
        <f>IF(D66=År1,P66,SUM(O66,P66))*IFERROR(VLOOKUP(A66,[1]Tørstofindhold!A$2:B$24,2,FALSE),0)</f>
        <v>0</v>
      </c>
      <c r="W66" s="192">
        <f>J66*IFERROR(VLOOKUP(A66,[1]Tørstofindhold!A$2:B$24,2,FALSE),0)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hidden="1" x14ac:dyDescent="0.25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581579.9632190367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1439135.6096790803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92">
        <f>IFERROR(VLOOKUP(A67,[1]Biogasudbytte!$A$2:$B$18,2,FALSE)*[1]Energiindhold!$C$10,0)*J67*IFERROR(VLOOKUP(A67,Biogasanlæg!$F$3:$G$8,2,FALSE),1)</f>
        <v>0.30928997353838589</v>
      </c>
      <c r="T67" s="193">
        <f t="shared" si="11"/>
        <v>14.320166964206413</v>
      </c>
      <c r="U67" s="191">
        <f>O67*IFERROR(VLOOKUP(A67,[1]Tørstofindhold!A$2:B$24,2,FALSE),0)</f>
        <v>0</v>
      </c>
      <c r="V67" s="192">
        <f>IF(D67=År1,P67,SUM(O67,P67))*IFERROR(VLOOKUP(A67,[1]Tørstofindhold!A$2:B$24,2,FALSE),0)</f>
        <v>1223265.2682272182</v>
      </c>
      <c r="W67" s="192">
        <f>J67*IFERROR(VLOOKUP(A67,[1]Tørstofindhold!A$2:B$24,2,FALSE),0)</f>
        <v>45597.893260237201</v>
      </c>
      <c r="X67" s="193">
        <f t="shared" si="12"/>
        <v>1177667.3749669809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O68*IFERROR(VLOOKUP(A68,[1]Tørstofindhold!A$2:B$24,2,FALSE),0)</f>
        <v>0</v>
      </c>
      <c r="V68" s="192">
        <f>IF(D68=År1,P68,SUM(O68,P68))*IFERROR(VLOOKUP(A68,[1]Tørstofindhold!A$2:B$24,2,FALSE),0)</f>
        <v>158020.23296051734</v>
      </c>
      <c r="W68" s="192">
        <f>J68*IFERROR(VLOOKUP(A68,[1]Tørstofindhold!A$2:B$24,2,FALSE),0)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-3862742.0312364982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O69*IFERROR(VLOOKUP(A69,[1]Tørstofindhold!A$2:B$24,2,FALSE),0)</f>
        <v>0</v>
      </c>
      <c r="V69" s="192">
        <f>IF(D69=År1,P69,SUM(O69,P69))*IFERROR(VLOOKUP(A69,[1]Tørstofindhold!A$2:B$24,2,FALSE),0)</f>
        <v>0</v>
      </c>
      <c r="W69" s="192">
        <f>J69*IFERROR(VLOOKUP(A69,[1]Tørstofindhold!A$2:B$24,2,FALSE),0)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hidden="1" x14ac:dyDescent="0.25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456500.14494289405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-51961.836502145103</v>
      </c>
      <c r="O70" s="195">
        <f t="shared" si="20"/>
        <v>0</v>
      </c>
      <c r="P70" s="205">
        <f t="shared" si="10"/>
        <v>508461.98144503916</v>
      </c>
      <c r="Q70" s="192">
        <f>IFERROR(VLOOKUP(A70,[1]Energiindhold!$A$2:$C$11,3,FALSE),IFERROR(VLOOKUP(A70,[1]Biogasudbytte!$A$2:$B$18,2,FALSE)*[1]Energiindhold!$C$10,0))*O70</f>
        <v>0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92">
        <f>IFERROR(VLOOKUP(A70,[1]Biogasudbytte!$A$2:$B$18,2,FALSE)*[1]Energiindhold!$C$10,0)*J70*IFERROR(VLOOKUP(A70,Biogasanlæg!$F$3:$G$8,2,FALSE),1)</f>
        <v>1.8727470858101014</v>
      </c>
      <c r="T70" s="193">
        <f t="shared" si="11"/>
        <v>0</v>
      </c>
      <c r="U70" s="191">
        <f>O70*IFERROR(VLOOKUP(A70,[1]Tørstofindhold!A$2:B$24,2,FALSE),0)</f>
        <v>0</v>
      </c>
      <c r="V70" s="192">
        <f>IF(D70=År1,P70,SUM(O70,P70))*IFERROR(VLOOKUP(A70,[1]Tørstofindhold!A$2:B$24,2,FALSE),0)</f>
        <v>213554.03220691642</v>
      </c>
      <c r="W70" s="192">
        <f>J70*IFERROR(VLOOKUP(A70,[1]Tørstofindhold!A$2:B$24,2,FALSE),0)</f>
        <v>213554.03220691642</v>
      </c>
      <c r="X70" s="193">
        <f t="shared" si="12"/>
        <v>0</v>
      </c>
      <c r="Y70" s="171">
        <f t="shared" si="21"/>
        <v>1</v>
      </c>
      <c r="Z70" s="103">
        <f t="shared" si="22"/>
        <v>0</v>
      </c>
    </row>
    <row r="71" spans="1:26" hidden="1" x14ac:dyDescent="0.25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O71*IFERROR(VLOOKUP(A71,[1]Tørstofindhold!A$2:B$24,2,FALSE),0)</f>
        <v>0</v>
      </c>
      <c r="V71" s="192">
        <f>IF(D71=År1,P71,SUM(O71,P71))*IFERROR(VLOOKUP(A71,[1]Tørstofindhold!A$2:B$24,2,FALSE),0)</f>
        <v>0</v>
      </c>
      <c r="W71" s="192">
        <f>J71*IFERROR(VLOOKUP(A71,[1]Tørstofindhold!A$2:B$24,2,FALSE),0)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O72*IFERROR(VLOOKUP(A72,[1]Tørstofindhold!A$2:B$24,2,FALSE),0)</f>
        <v>0</v>
      </c>
      <c r="V72" s="192">
        <f>IF(D72=År1,P72,SUM(O72,P72))*IFERROR(VLOOKUP(A72,[1]Tørstofindhold!A$2:B$24,2,FALSE),0)</f>
        <v>0</v>
      </c>
      <c r="W72" s="192">
        <f>J72*IFERROR(VLOOKUP(A72,[1]Tørstofindhold!A$2:B$24,2,FALSE),0)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2169017.6219496708</v>
      </c>
      <c r="O73" s="195">
        <f t="shared" si="20"/>
        <v>2169017.6219496708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7.4285816927105506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7.4285816927105506</v>
      </c>
      <c r="U73" s="191">
        <f>O73*IFERROR(VLOOKUP(A73,[1]Tørstofindhold!A$2:B$24,2,FALSE),0)</f>
        <v>672395.46280439792</v>
      </c>
      <c r="V73" s="192">
        <f>IF(D73=År1,P73,SUM(O73,P73))*IFERROR(VLOOKUP(A73,[1]Tørstofindhold!A$2:B$24,2,FALSE),0)</f>
        <v>673273.98214902682</v>
      </c>
      <c r="W73" s="192">
        <f>J73*IFERROR(VLOOKUP(A73,[1]Tørstofindhold!A$2:B$24,2,FALSE),0)</f>
        <v>878.51934462886106</v>
      </c>
      <c r="X73" s="193">
        <f t="shared" si="12"/>
        <v>672395.46280439792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851831.85374033672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-851831.85374033672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O74*IFERROR(VLOOKUP(A74,[1]Tørstofindhold!A$2:B$24,2,FALSE),0)</f>
        <v>0</v>
      </c>
      <c r="V74" s="192">
        <f>IF(D74=År1,P74,SUM(O74,P74))*IFERROR(VLOOKUP(A74,[1]Tørstofindhold!A$2:B$24,2,FALSE),0)</f>
        <v>0</v>
      </c>
      <c r="W74" s="192">
        <f>J74*IFERROR(VLOOKUP(A74,[1]Tørstofindhold!A$2:B$24,2,FALSE),0)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hidden="1" x14ac:dyDescent="0.25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10386797.369068628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1651500.7816819118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841330.58689455874</v>
      </c>
      <c r="O75" s="195">
        <f t="shared" si="20"/>
        <v>841330.58689455874</v>
      </c>
      <c r="P75" s="205">
        <f t="shared" si="10"/>
        <v>7893966.0004921574</v>
      </c>
      <c r="Q75" s="192">
        <f>IFERROR(VLOOKUP(A75,[1]Energiindhold!$A$2:$C$11,3,FALSE),IFERROR(VLOOKUP(A75,[1]Biogasudbytte!$A$2:$B$18,2,FALSE)*[1]Energiindhold!$C$10,0))*O75</f>
        <v>0.42587312978015673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4.4217197795692824</v>
      </c>
      <c r="S75" s="192">
        <f>IFERROR(VLOOKUP(A75,[1]Biogasudbytte!$A$2:$B$18,2,FALSE)*[1]Energiindhold!$C$10,0)*J75*IFERROR(VLOOKUP(A75,Biogasanlæg!$F$3:$G$8,2,FALSE),1)</f>
        <v>3.9958466497891258</v>
      </c>
      <c r="T75" s="193">
        <f t="shared" si="11"/>
        <v>0.42587312978015657</v>
      </c>
      <c r="U75" s="191">
        <f>O75*IFERROR(VLOOKUP(A75,[1]Tørstofindhold!A$2:B$24,2,FALSE),0)</f>
        <v>63941.124603986464</v>
      </c>
      <c r="V75" s="192">
        <f>IF(D75=År1,P75,SUM(O75,P75))*IFERROR(VLOOKUP(A75,[1]Tørstofindhold!A$2:B$24,2,FALSE),0)</f>
        <v>663882.54064139037</v>
      </c>
      <c r="W75" s="192">
        <f>J75*IFERROR(VLOOKUP(A75,[1]Tørstofindhold!A$2:B$24,2,FALSE),0)</f>
        <v>599941.41603740398</v>
      </c>
      <c r="X75" s="193">
        <f t="shared" si="12"/>
        <v>63941.124603986391</v>
      </c>
      <c r="Y75" s="171">
        <f t="shared" si="21"/>
        <v>0</v>
      </c>
      <c r="Z75" s="103">
        <f t="shared" si="22"/>
        <v>1</v>
      </c>
    </row>
    <row r="76" spans="1:26" hidden="1" x14ac:dyDescent="0.25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1296795.0922933305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84223.753359721275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O76*IFERROR(VLOOKUP(A76,[1]Tørstofindhold!A$2:B$24,2,FALSE),0)</f>
        <v>0</v>
      </c>
      <c r="V76" s="192">
        <f>IF(D76=År1,P76,SUM(O76,P76))*IFERROR(VLOOKUP(A76,[1]Tørstofindhold!A$2:B$24,2,FALSE),0)</f>
        <v>0</v>
      </c>
      <c r="W76" s="192">
        <f>J76*IFERROR(VLOOKUP(A76,[1]Tørstofindhold!A$2:B$24,2,FALSE),0)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3142972.4098101053</v>
      </c>
      <c r="O77" s="195">
        <f t="shared" si="20"/>
        <v>2961150.4845719668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10.630530239613362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10.630530239613362</v>
      </c>
      <c r="U77" s="191">
        <f>O77*IFERROR(VLOOKUP(A77,[1]Tørstofindhold!A$2:B$24,2,FALSE),0)</f>
        <v>888345.14537159004</v>
      </c>
      <c r="V77" s="192">
        <f>IF(D77=År1,P77,SUM(O77,P77))*IFERROR(VLOOKUP(A77,[1]Tørstofindhold!A$2:B$24,2,FALSE),0)</f>
        <v>982752.83942266752</v>
      </c>
      <c r="W77" s="192">
        <f>J77*IFERROR(VLOOKUP(A77,[1]Tørstofindhold!A$2:B$24,2,FALSE),0)</f>
        <v>94407.694051077502</v>
      </c>
      <c r="X77" s="193">
        <f t="shared" si="12"/>
        <v>888345.14537159004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2502141.5052936058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2029734.6292751078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O78*IFERROR(VLOOKUP(A78,[1]Tørstofindhold!A$2:B$24,2,FALSE),0)</f>
        <v>0</v>
      </c>
      <c r="V78" s="192">
        <f>IF(D78=År1,P78,SUM(O78,P78))*IFERROR(VLOOKUP(A78,[1]Tørstofindhold!A$2:B$24,2,FALSE),0)</f>
        <v>0</v>
      </c>
      <c r="W78" s="192">
        <f>J78*IFERROR(VLOOKUP(A78,[1]Tørstofindhold!A$2:B$24,2,FALSE),0)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O79*IFERROR(VLOOKUP(A79,[1]Tørstofindhold!A$2:B$24,2,FALSE),0)</f>
        <v>21748.400817645732</v>
      </c>
      <c r="V79" s="192">
        <f>IF(D79=År1,P79,SUM(O79,P79))*IFERROR(VLOOKUP(A79,[1]Tørstofindhold!A$2:B$24,2,FALSE),0)</f>
        <v>21748.400817645732</v>
      </c>
      <c r="W79" s="192">
        <f>J79*IFERROR(VLOOKUP(A79,[1]Tørstofindhold!A$2:B$24,2,FALSE),0)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84934.510833187902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24906.257794285637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O80*IFERROR(VLOOKUP(A80,[1]Tørstofindhold!A$2:B$24,2,FALSE),0)</f>
        <v>0</v>
      </c>
      <c r="V80" s="192">
        <f>IF(D80=År1,P80,SUM(O80,P80))*IFERROR(VLOOKUP(A80,[1]Tørstofindhold!A$2:B$24,2,FALSE),0)</f>
        <v>0</v>
      </c>
      <c r="W80" s="192">
        <f>J80*IFERROR(VLOOKUP(A80,[1]Tørstofindhold!A$2:B$24,2,FALSE),0)</f>
        <v>0</v>
      </c>
      <c r="X80" s="193">
        <f t="shared" si="12"/>
        <v>0</v>
      </c>
      <c r="Y80" s="171">
        <f t="shared" si="21"/>
        <v>1</v>
      </c>
      <c r="Z80" s="103">
        <f t="shared" si="22"/>
        <v>0</v>
      </c>
    </row>
    <row r="81" spans="1:26" hidden="1" x14ac:dyDescent="0.25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O81*IFERROR(VLOOKUP(A81,[1]Tørstofindhold!A$2:B$24,2,FALSE),0)</f>
        <v>0</v>
      </c>
      <c r="V81" s="192">
        <f>IF(D81=År1,P81,SUM(O81,P81))*IFERROR(VLOOKUP(A81,[1]Tørstofindhold!A$2:B$24,2,FALSE),0)</f>
        <v>0</v>
      </c>
      <c r="W81" s="192">
        <f>J81*IFERROR(VLOOKUP(A81,[1]Tørstofindhold!A$2:B$24,2,FALSE),0)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O82*IFERROR(VLOOKUP(A82,[1]Tørstofindhold!A$2:B$24,2,FALSE),0)</f>
        <v>0</v>
      </c>
      <c r="V82" s="192">
        <f>IF(D82=År1,P82,SUM(O82,P82))*IFERROR(VLOOKUP(A82,[1]Tørstofindhold!A$2:B$24,2,FALSE),0)</f>
        <v>73669.333557261241</v>
      </c>
      <c r="W82" s="192">
        <f>J82*IFERROR(VLOOKUP(A82,[1]Tørstofindhold!A$2:B$24,2,FALSE),0)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O83*IFERROR(VLOOKUP(A83,[1]Tørstofindhold!A$2:B$24,2,FALSE),0)</f>
        <v>0</v>
      </c>
      <c r="V83" s="192">
        <f>IF(D83=År1,P83,SUM(O83,P83))*IFERROR(VLOOKUP(A83,[1]Tørstofindhold!A$2:B$24,2,FALSE),0)</f>
        <v>0</v>
      </c>
      <c r="W83" s="192">
        <f>J83*IFERROR(VLOOKUP(A83,[1]Tørstofindhold!A$2:B$24,2,FALSE),0)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O84*IFERROR(VLOOKUP(A84,[1]Tørstofindhold!A$2:B$24,2,FALSE),0)</f>
        <v>0</v>
      </c>
      <c r="V84" s="192">
        <f>IF(D84=År1,P84,SUM(O84,P84))*IFERROR(VLOOKUP(A84,[1]Tørstofindhold!A$2:B$24,2,FALSE),0)</f>
        <v>0</v>
      </c>
      <c r="W84" s="192">
        <f>J84*IFERROR(VLOOKUP(A84,[1]Tørstofindhold!A$2:B$24,2,FALSE),0)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3896345.2282942934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3896345.2282942934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O85*IFERROR(VLOOKUP(A85,[1]Tørstofindhold!A$2:B$24,2,FALSE),0)</f>
        <v>0</v>
      </c>
      <c r="V85" s="192">
        <f>IF(D85=År1,P85,SUM(O85,P85))*IFERROR(VLOOKUP(A85,[1]Tørstofindhold!A$2:B$24,2,FALSE),0)</f>
        <v>0</v>
      </c>
      <c r="W85" s="192">
        <f>J85*IFERROR(VLOOKUP(A85,[1]Tørstofindhold!A$2:B$24,2,FALSE),0)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O86*IFERROR(VLOOKUP(A86,[1]Tørstofindhold!A$2:B$24,2,FALSE),0)</f>
        <v>0</v>
      </c>
      <c r="V86" s="192">
        <f>IF(D86=År1,P86,SUM(O86,P86))*IFERROR(VLOOKUP(A86,[1]Tørstofindhold!A$2:B$24,2,FALSE),0)</f>
        <v>0</v>
      </c>
      <c r="W86" s="192">
        <f>J86*IFERROR(VLOOKUP(A86,[1]Tørstofindhold!A$2:B$24,2,FALSE),0)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82616.067703844164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O87*IFERROR(VLOOKUP(A87,[1]Tørstofindhold!A$2:B$24,2,FALSE),0)</f>
        <v>0</v>
      </c>
      <c r="V87" s="192">
        <f>IF(D87=År1,P87,SUM(O87,P87))*IFERROR(VLOOKUP(A87,[1]Tørstofindhold!A$2:B$24,2,FALSE),0)</f>
        <v>0</v>
      </c>
      <c r="W87" s="192">
        <f>J87*IFERROR(VLOOKUP(A87,[1]Tørstofindhold!A$2:B$24,2,FALSE),0)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O88*IFERROR(VLOOKUP(A88,[1]Tørstofindhold!A$2:B$24,2,FALSE),0)</f>
        <v>0</v>
      </c>
      <c r="V88" s="192">
        <f>IF(D88=År1,P88,SUM(O88,P88))*IFERROR(VLOOKUP(A88,[1]Tørstofindhold!A$2:B$24,2,FALSE),0)</f>
        <v>0</v>
      </c>
      <c r="W88" s="192">
        <f>J88*IFERROR(VLOOKUP(A88,[1]Tørstofindhold!A$2:B$24,2,FALSE),0)</f>
        <v>0</v>
      </c>
      <c r="X88" s="193">
        <f t="shared" si="26"/>
        <v>0</v>
      </c>
      <c r="Y88" s="171">
        <f t="shared" si="21"/>
        <v>0</v>
      </c>
      <c r="Z88" s="103">
        <f t="shared" si="22"/>
        <v>0</v>
      </c>
    </row>
    <row r="89" spans="1:26" hidden="1" x14ac:dyDescent="0.25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-281910.65780216159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O89*IFERROR(VLOOKUP(A89,[1]Tørstofindhold!A$2:B$24,2,FALSE),0)</f>
        <v>0</v>
      </c>
      <c r="V89" s="192">
        <f>IF(D89=År1,P89,SUM(O89,P89))*IFERROR(VLOOKUP(A89,[1]Tørstofindhold!A$2:B$24,2,FALSE),0)</f>
        <v>815.14415665471631</v>
      </c>
      <c r="W89" s="192">
        <f>J89*IFERROR(VLOOKUP(A89,[1]Tørstofindhold!A$2:B$24,2,FALSE),0)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152898.46172507474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152898.46172507474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O90*IFERROR(VLOOKUP(A90,[1]Tørstofindhold!A$2:B$24,2,FALSE),0)</f>
        <v>0</v>
      </c>
      <c r="V90" s="192">
        <f>IF(D90=År1,P90,SUM(O90,P90))*IFERROR(VLOOKUP(A90,[1]Tørstofindhold!A$2:B$24,2,FALSE),0)</f>
        <v>0</v>
      </c>
      <c r="W90" s="192">
        <f>J90*IFERROR(VLOOKUP(A90,[1]Tørstofindhold!A$2:B$24,2,FALSE),0)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103754.66217102103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72222.074160927164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O91*IFERROR(VLOOKUP(A91,[1]Tørstofindhold!A$2:B$24,2,FALSE),0)</f>
        <v>0</v>
      </c>
      <c r="V91" s="192">
        <f>IF(D91=År1,P91,SUM(O91,P91))*IFERROR(VLOOKUP(A91,[1]Tørstofindhold!A$2:B$24,2,FALSE),0)</f>
        <v>0</v>
      </c>
      <c r="W91" s="192">
        <f>J91*IFERROR(VLOOKUP(A91,[1]Tørstofindhold!A$2:B$24,2,FALSE),0)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3949558.8398278607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2451693.2150962139</v>
      </c>
      <c r="O92" s="195">
        <f t="shared" si="20"/>
        <v>2451693.2150962139</v>
      </c>
      <c r="P92" s="205">
        <f t="shared" si="24"/>
        <v>1497865.6247316466</v>
      </c>
      <c r="Q92" s="192">
        <f>IFERROR(VLOOKUP(A92,[1]Energiindhold!$A$2:$C$11,3,FALSE),IFERROR(VLOOKUP(A92,[1]Biogasudbytte!$A$2:$B$18,2,FALSE)*[1]Energiindhold!$C$10,0))*O92</f>
        <v>1.2234194312651618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92">
        <f>IFERROR(VLOOKUP(A92,[1]Biogasudbytte!$A$2:$B$18,2,FALSE)*[1]Energiindhold!$C$10,0)*J92*IFERROR(VLOOKUP(A92,Biogasanlæg!$F$3:$G$8,2,FALSE),1)</f>
        <v>0.74744992539733912</v>
      </c>
      <c r="T92" s="193">
        <f t="shared" si="25"/>
        <v>1.2234194312651616</v>
      </c>
      <c r="U92" s="191">
        <f>O92*IFERROR(VLOOKUP(A92,[1]Tørstofindhold!A$2:B$24,2,FALSE),0)</f>
        <v>147101.59290577282</v>
      </c>
      <c r="V92" s="192">
        <f>IF(D92=År1,P92,SUM(O92,P92))*IFERROR(VLOOKUP(A92,[1]Tørstofindhold!A$2:B$24,2,FALSE),0)</f>
        <v>236973.53038967162</v>
      </c>
      <c r="W92" s="192">
        <f>J92*IFERROR(VLOOKUP(A92,[1]Tørstofindhold!A$2:B$24,2,FALSE),0)</f>
        <v>89871.937483898801</v>
      </c>
      <c r="X92" s="193">
        <f t="shared" si="26"/>
        <v>147101.59290577282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12059866.540704856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6391729.2665735735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92">
        <f>IFERROR(VLOOKUP(A93,[1]Biogasudbytte!$A$2:$B$18,2,FALSE)*[1]Energiindhold!$C$10,0)*J93*IFERROR(VLOOKUP(A93,Biogasanlæg!$F$3:$G$8,2,FALSE),1)</f>
        <v>2.7535569680398959</v>
      </c>
      <c r="T93" s="193">
        <f t="shared" si="25"/>
        <v>0</v>
      </c>
      <c r="U93" s="191">
        <f>O93*IFERROR(VLOOKUP(A93,[1]Tørstofindhold!A$2:B$24,2,FALSE),0)</f>
        <v>0</v>
      </c>
      <c r="V93" s="192">
        <f>IF(D93=År1,P93,SUM(O93,P93))*IFERROR(VLOOKUP(A93,[1]Tørstofindhold!A$2:B$24,2,FALSE),0)</f>
        <v>319586.46332867868</v>
      </c>
      <c r="W93" s="192">
        <f>J93*IFERROR(VLOOKUP(A93,[1]Tørstofindhold!A$2:B$24,2,FALSE),0)</f>
        <v>319586.46332867868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1102410.4206254377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980534.87657675741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O94*IFERROR(VLOOKUP(A94,[1]Tørstofindhold!A$2:B$24,2,FALSE),0)</f>
        <v>0</v>
      </c>
      <c r="V94" s="192">
        <f>IF(D94=År1,P94,SUM(O94,P94))*IFERROR(VLOOKUP(A94,[1]Tørstofindhold!A$2:B$24,2,FALSE),0)</f>
        <v>0</v>
      </c>
      <c r="W94" s="192">
        <f>J94*IFERROR(VLOOKUP(A94,[1]Tørstofindhold!A$2:B$24,2,FALSE),0)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O95*IFERROR(VLOOKUP(A95,[1]Tørstofindhold!A$2:B$24,2,FALSE),0)</f>
        <v>1620</v>
      </c>
      <c r="V95" s="192">
        <f>IF(D95=År1,P95,SUM(O95,P95))*IFERROR(VLOOKUP(A95,[1]Tørstofindhold!A$2:B$24,2,FALSE),0)</f>
        <v>1620</v>
      </c>
      <c r="W95" s="192">
        <f>J95*IFERROR(VLOOKUP(A95,[1]Tørstofindhold!A$2:B$24,2,FALSE),0)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O96*IFERROR(VLOOKUP(A96,[1]Tørstofindhold!A$2:B$24,2,FALSE),0)</f>
        <v>0</v>
      </c>
      <c r="V96" s="192">
        <f>IF(D96=År1,P96,SUM(O96,P96))*IFERROR(VLOOKUP(A96,[1]Tørstofindhold!A$2:B$24,2,FALSE),0)</f>
        <v>0</v>
      </c>
      <c r="W96" s="192">
        <f>J96*IFERROR(VLOOKUP(A96,[1]Tørstofindhold!A$2:B$24,2,FALSE),0)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O97*IFERROR(VLOOKUP(A97,[1]Tørstofindhold!A$2:B$24,2,FALSE),0)</f>
        <v>0</v>
      </c>
      <c r="V97" s="192">
        <f>IF(D97=År1,P97,SUM(O97,P97))*IFERROR(VLOOKUP(A97,[1]Tørstofindhold!A$2:B$24,2,FALSE),0)</f>
        <v>1089920.7111703621</v>
      </c>
      <c r="W97" s="192">
        <f>J97*IFERROR(VLOOKUP(A97,[1]Tørstofindhold!A$2:B$24,2,FALSE),0)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O98*IFERROR(VLOOKUP(A98,[1]Tørstofindhold!A$2:B$24,2,FALSE),0)</f>
        <v>0</v>
      </c>
      <c r="V98" s="192">
        <f>IF(D98=År1,P98,SUM(O98,P98))*IFERROR(VLOOKUP(A98,[1]Tørstofindhold!A$2:B$24,2,FALSE),0)</f>
        <v>0</v>
      </c>
      <c r="W98" s="192">
        <f>J98*IFERROR(VLOOKUP(A98,[1]Tørstofindhold!A$2:B$24,2,FALSE),0)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hidden="1" x14ac:dyDescent="0.25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166578.5911943354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132728.62230789059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O99*IFERROR(VLOOKUP(A99,[1]Tørstofindhold!A$2:B$24,2,FALSE),0)</f>
        <v>0</v>
      </c>
      <c r="V99" s="192">
        <f>IF(D99=År1,P99,SUM(O99,P99))*IFERROR(VLOOKUP(A99,[1]Tørstofindhold!A$2:B$24,2,FALSE),0)</f>
        <v>0</v>
      </c>
      <c r="W99" s="192">
        <f>J99*IFERROR(VLOOKUP(A99,[1]Tørstofindhold!A$2:B$24,2,FALSE),0)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208864.25233337711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O100*IFERROR(VLOOKUP(A100,[1]Tørstofindhold!A$2:B$24,2,FALSE),0)</f>
        <v>0</v>
      </c>
      <c r="V100" s="192">
        <f>IF(D100=År1,P100,SUM(O100,P100))*IFERROR(VLOOKUP(A100,[1]Tørstofindhold!A$2:B$24,2,FALSE),0)</f>
        <v>0</v>
      </c>
      <c r="W100" s="192">
        <f>J100*IFERROR(VLOOKUP(A100,[1]Tørstofindhold!A$2:B$24,2,FALSE),0)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O101*IFERROR(VLOOKUP(A101,[1]Tørstofindhold!A$2:B$24,2,FALSE),0)</f>
        <v>0</v>
      </c>
      <c r="V101" s="192">
        <f ca="1">IF(D101=År1,P101,SUM(O101,P101))*IFERROR(VLOOKUP(A101,[1]Tørstofindhold!A$2:B$24,2,FALSE),0)</f>
        <v>55295.585392034671</v>
      </c>
      <c r="W101" s="192">
        <f ca="1">J101*IFERROR(VLOOKUP(A101,[1]Tørstofindhold!A$2:B$24,2,FALSE),0)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hidden="1" x14ac:dyDescent="0.25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434305248.86575383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434305248.86575383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434305248.86575383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O102*IFERROR(VLOOKUP(A102,[1]Tørstofindhold!A$2:B$24,2,FALSE),0)</f>
        <v>0</v>
      </c>
      <c r="V102" s="192">
        <f ca="1">IF(D102=År1,P102,SUM(O102,P102))*IFERROR(VLOOKUP(A102,[1]Tørstofindhold!A$2:B$24,2,FALSE),0)</f>
        <v>0</v>
      </c>
      <c r="W102" s="192">
        <f>J102*IFERROR(VLOOKUP(A102,[1]Tørstofindhold!A$2:B$24,2,FALSE),0)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16361961.782417906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13769683.498114759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2592278.2843031473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O103*IFERROR(VLOOKUP(A103,[1]Tørstofindhold!A$2:B$24,2,FALSE),0)</f>
        <v>0</v>
      </c>
      <c r="V103" s="192">
        <f>IF(D103=År1,P103,SUM(O103,P103))*IFERROR(VLOOKUP(A103,[1]Tørstofindhold!A$2:B$24,2,FALSE),0)</f>
        <v>0</v>
      </c>
      <c r="W103" s="192">
        <f>J103*IFERROR(VLOOKUP(A103,[1]Tørstofindhold!A$2:B$24,2,FALSE),0)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hidden="1" x14ac:dyDescent="0.25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O104*IFERROR(VLOOKUP(A104,[1]Tørstofindhold!A$2:B$24,2,FALSE),0)</f>
        <v>0</v>
      </c>
      <c r="V104" s="192">
        <f>IF(D104=År1,P104,SUM(O104,P104))*IFERROR(VLOOKUP(A104,[1]Tørstofindhold!A$2:B$24,2,FALSE),0)</f>
        <v>0</v>
      </c>
      <c r="W104" s="192">
        <f>J104*IFERROR(VLOOKUP(A104,[1]Tørstofindhold!A$2:B$24,2,FALSE),0)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hidden="1" x14ac:dyDescent="0.25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2222382.1821508599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690525.89231115999</v>
      </c>
      <c r="O105" s="195">
        <f t="shared" si="20"/>
        <v>690525.89231115999</v>
      </c>
      <c r="P105" s="205">
        <f t="shared" si="24"/>
        <v>1111191.0910754299</v>
      </c>
      <c r="Q105" s="192">
        <f>IFERROR(VLOOKUP(A105,[1]Energiindhold!$A$2:$C$11,3,FALSE),IFERROR(VLOOKUP(A105,[1]Biogasudbytte!$A$2:$B$18,2,FALSE)*[1]Energiindhold!$C$10,0))*O105</f>
        <v>1.4873927720382387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2">
        <f>IFERROR(VLOOKUP(A105,[1]Biogasudbytte!$A$2:$B$18,2,FALSE)*[1]Energiindhold!$C$10,0)*J105*IFERROR(VLOOKUP(A105,Biogasanlæg!$F$3:$G$8,2,FALSE),1)</f>
        <v>2.3935056101764762</v>
      </c>
      <c r="T105" s="193">
        <f t="shared" si="25"/>
        <v>1.4873927720382389</v>
      </c>
      <c r="U105" s="191">
        <f>O105*IFERROR(VLOOKUP(A105,[1]Tørstofindhold!A$2:B$24,2,FALSE),0)</f>
        <v>207157.767693348</v>
      </c>
      <c r="V105" s="192">
        <f>IF(D105=År1,P105,SUM(O105,P105))*IFERROR(VLOOKUP(A105,[1]Tørstofindhold!A$2:B$24,2,FALSE),0)</f>
        <v>540515.09501597693</v>
      </c>
      <c r="W105" s="192">
        <f>J105*IFERROR(VLOOKUP(A105,[1]Tørstofindhold!A$2:B$24,2,FALSE),0)</f>
        <v>333357.32732262899</v>
      </c>
      <c r="X105" s="193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O106*IFERROR(VLOOKUP(A106,[1]Tørstofindhold!A$2:B$24,2,FALSE),0)</f>
        <v>0</v>
      </c>
      <c r="V106" s="192">
        <f>IF(D106=År1,P106,SUM(O106,P106))*IFERROR(VLOOKUP(A106,[1]Tørstofindhold!A$2:B$24,2,FALSE),0)</f>
        <v>0</v>
      </c>
      <c r="W106" s="192">
        <f>J106*IFERROR(VLOOKUP(A106,[1]Tørstofindhold!A$2:B$24,2,FALSE),0)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hidden="1" x14ac:dyDescent="0.25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6892.4253779859373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2609.2753216661044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836.93736732686375</v>
      </c>
      <c r="O107" s="195">
        <f t="shared" si="20"/>
        <v>836.93736732686375</v>
      </c>
      <c r="P107" s="205">
        <f t="shared" si="24"/>
        <v>3446.2126889929687</v>
      </c>
      <c r="Q107" s="192">
        <f>IFERROR(VLOOKUP(A107,[1]Energiindhold!$A$2:$C$11,3,FALSE),IFERROR(VLOOKUP(A107,[1]Biogasudbytte!$A$2:$B$18,2,FALSE)*[1]Energiindhold!$C$10,0))*O107</f>
        <v>3.9360327448015076E-4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2.0143226399866538E-3</v>
      </c>
      <c r="S107" s="192">
        <f>IFERROR(VLOOKUP(A107,[1]Biogasudbytte!$A$2:$B$18,2,FALSE)*[1]Energiindhold!$C$10,0)*J107*IFERROR(VLOOKUP(A107,Biogasanlæg!$F$3:$G$8,2,FALSE),1)</f>
        <v>1.6207193655065032E-3</v>
      </c>
      <c r="T107" s="193">
        <f t="shared" si="25"/>
        <v>3.936032744801506E-4</v>
      </c>
      <c r="U107" s="191">
        <f>O107*IFERROR(VLOOKUP(A107,[1]Tørstofindhold!A$2:B$24,2,FALSE),0)</f>
        <v>52.727054141592419</v>
      </c>
      <c r="V107" s="192">
        <f>IF(D107=År1,P107,SUM(O107,P107))*IFERROR(VLOOKUP(A107,[1]Tørstofindhold!A$2:B$24,2,FALSE),0)</f>
        <v>269.83845354814946</v>
      </c>
      <c r="W107" s="192">
        <f>J107*IFERROR(VLOOKUP(A107,[1]Tørstofindhold!A$2:B$24,2,FALSE),0)</f>
        <v>217.11139940655701</v>
      </c>
      <c r="X107" s="193">
        <f t="shared" si="26"/>
        <v>52.727054141592447</v>
      </c>
      <c r="Y107" s="171">
        <f t="shared" si="21"/>
        <v>0</v>
      </c>
      <c r="Z107" s="103">
        <f t="shared" si="22"/>
        <v>1</v>
      </c>
    </row>
    <row r="108" spans="1:26" hidden="1" x14ac:dyDescent="0.25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138927.00099994309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102256.20137296121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O108*IFERROR(VLOOKUP(A108,[1]Tørstofindhold!A$2:B$24,2,FALSE),0)</f>
        <v>0</v>
      </c>
      <c r="V108" s="192">
        <f>IF(D108=År1,P108,SUM(O108,P108))*IFERROR(VLOOKUP(A108,[1]Tørstofindhold!A$2:B$24,2,FALSE),0)</f>
        <v>0</v>
      </c>
      <c r="W108" s="192">
        <f>J108*IFERROR(VLOOKUP(A108,[1]Tørstofindhold!A$2:B$24,2,FALSE),0)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O109*IFERROR(VLOOKUP(A109,[1]Tørstofindhold!A$2:B$24,2,FALSE),0)</f>
        <v>0</v>
      </c>
      <c r="V109" s="192">
        <f>IF(D109=År1,P109,SUM(O109,P109))*IFERROR(VLOOKUP(A109,[1]Tørstofindhold!A$2:B$24,2,FALSE),0)</f>
        <v>0</v>
      </c>
      <c r="W109" s="192">
        <f>J109*IFERROR(VLOOKUP(A109,[1]Tørstofindhold!A$2:B$24,2,FALSE),0)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O110*IFERROR(VLOOKUP(A110,[1]Tørstofindhold!A$2:B$24,2,FALSE),0)</f>
        <v>0</v>
      </c>
      <c r="V110" s="192">
        <f>IF(D110=År1,P110,SUM(O110,P110))*IFERROR(VLOOKUP(A110,[1]Tørstofindhold!A$2:B$24,2,FALSE),0)</f>
        <v>0</v>
      </c>
      <c r="W110" s="192">
        <f>J110*IFERROR(VLOOKUP(A110,[1]Tørstofindhold!A$2:B$24,2,FALSE),0)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O111*IFERROR(VLOOKUP(A111,[1]Tørstofindhold!A$2:B$24,2,FALSE),0)</f>
        <v>0</v>
      </c>
      <c r="V111" s="192">
        <f>IF(D111=År1,P111,SUM(O111,P111))*IFERROR(VLOOKUP(A111,[1]Tørstofindhold!A$2:B$24,2,FALSE),0)</f>
        <v>102774.24</v>
      </c>
      <c r="W111" s="192">
        <f>J111*IFERROR(VLOOKUP(A111,[1]Tørstofindhold!A$2:B$24,2,FALSE),0)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6234320.5706386827</v>
      </c>
      <c r="O112" s="195">
        <f t="shared" si="20"/>
        <v>6234320.5706386827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11.470370559903847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11.609330897790654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11.470370559903847</v>
      </c>
      <c r="U112" s="191">
        <f>O112*IFERROR(VLOOKUP(A112,[1]Tørstofindhold!A$2:B$24,2,FALSE),0)</f>
        <v>1745609.7597788314</v>
      </c>
      <c r="V112" s="192">
        <f>IF(D112=År1,P112,SUM(O112,P112))*IFERROR(VLOOKUP(A112,[1]Tørstofindhold!A$2:B$24,2,FALSE),0)</f>
        <v>1766757.3348088232</v>
      </c>
      <c r="W112" s="192">
        <f>J112*IFERROR(VLOOKUP(A112,[1]Tørstofindhold!A$2:B$24,2,FALSE),0)</f>
        <v>21147.575029991774</v>
      </c>
      <c r="X112" s="193">
        <f t="shared" si="26"/>
        <v>1745609.7597788314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O113*IFERROR(VLOOKUP(A113,[1]Tørstofindhold!A$2:B$24,2,FALSE),0)</f>
        <v>0</v>
      </c>
      <c r="V113" s="192">
        <f>IF(D113=År1,P113,SUM(O113,P113))*IFERROR(VLOOKUP(A113,[1]Tørstofindhold!A$2:B$24,2,FALSE),0)</f>
        <v>0</v>
      </c>
      <c r="W113" s="192">
        <f>J113*IFERROR(VLOOKUP(A113,[1]Tørstofindhold!A$2:B$24,2,FALSE),0)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O114*IFERROR(VLOOKUP(A114,[1]Tørstofindhold!A$2:B$24,2,FALSE),0)</f>
        <v>0</v>
      </c>
      <c r="V114" s="192">
        <f>IF(D114=År1,P114,SUM(O114,P114))*IFERROR(VLOOKUP(A114,[1]Tørstofindhold!A$2:B$24,2,FALSE),0)</f>
        <v>0</v>
      </c>
      <c r="W114" s="192">
        <f>J114*IFERROR(VLOOKUP(A114,[1]Tørstofindhold!A$2:B$24,2,FALSE),0)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hidden="1" x14ac:dyDescent="0.25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579210.80448009283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1356399.9116397309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92">
        <f>IFERROR(VLOOKUP(A115,[1]Biogasudbytte!$A$2:$B$18,2,FALSE)*[1]Energiindhold!$C$10,0)*J115*IFERROR(VLOOKUP(A115,Biogasanlæg!$F$3:$G$8,2,FALSE),1)</f>
        <v>0.30767086578516784</v>
      </c>
      <c r="T115" s="193">
        <f t="shared" si="25"/>
        <v>13.467929364722803</v>
      </c>
      <c r="U115" s="191">
        <f>O115*IFERROR(VLOOKUP(A115,[1]Tørstofindhold!A$2:B$24,2,FALSE),0)</f>
        <v>0</v>
      </c>
      <c r="V115" s="192">
        <f>IF(D115=År1,P115,SUM(O115,P115))*IFERROR(VLOOKUP(A115,[1]Tørstofindhold!A$2:B$24,2,FALSE),0)</f>
        <v>1152939.9248937713</v>
      </c>
      <c r="W115" s="192">
        <f>J115*IFERROR(VLOOKUP(A115,[1]Tørstofindhold!A$2:B$24,2,FALSE),0)</f>
        <v>45359.192012785039</v>
      </c>
      <c r="X115" s="193">
        <f t="shared" si="26"/>
        <v>1107580.7328809863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O116*IFERROR(VLOOKUP(A116,[1]Tørstofindhold!A$2:B$24,2,FALSE),0)</f>
        <v>0</v>
      </c>
      <c r="V116" s="192">
        <f>IF(D116=År1,P116,SUM(O116,P116))*IFERROR(VLOOKUP(A116,[1]Tørstofindhold!A$2:B$24,2,FALSE),0)</f>
        <v>157464.59251181944</v>
      </c>
      <c r="W116" s="192">
        <f>J116*IFERROR(VLOOKUP(A116,[1]Tørstofindhold!A$2:B$24,2,FALSE),0)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-3862742.0312364982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O117*IFERROR(VLOOKUP(A117,[1]Tørstofindhold!A$2:B$24,2,FALSE),0)</f>
        <v>0</v>
      </c>
      <c r="V117" s="192">
        <f>IF(D117=År1,P117,SUM(O117,P117))*IFERROR(VLOOKUP(A117,[1]Tørstofindhold!A$2:B$24,2,FALSE),0)</f>
        <v>0</v>
      </c>
      <c r="W117" s="192">
        <f>J117*IFERROR(VLOOKUP(A117,[1]Tørstofindhold!A$2:B$24,2,FALSE),0)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hidden="1" x14ac:dyDescent="0.25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453678.05576738477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-51417.493458536803</v>
      </c>
      <c r="O118" s="195">
        <f t="shared" si="20"/>
        <v>0</v>
      </c>
      <c r="P118" s="205">
        <f t="shared" si="24"/>
        <v>505095.54922592157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2">
        <f>IFERROR(VLOOKUP(A118,[1]Biogasudbytte!$A$2:$B$18,2,FALSE)*[1]Energiindhold!$C$10,0)*J118*IFERROR(VLOOKUP(A118,Biogasanlæg!$F$3:$G$8,2,FALSE),1)</f>
        <v>1.8603479756347201</v>
      </c>
      <c r="T118" s="193">
        <f t="shared" si="25"/>
        <v>0</v>
      </c>
      <c r="U118" s="191">
        <f>O118*IFERROR(VLOOKUP(A118,[1]Tørstofindhold!A$2:B$24,2,FALSE),0)</f>
        <v>0</v>
      </c>
      <c r="V118" s="192">
        <f>IF(D118=År1,P118,SUM(O118,P118))*IFERROR(VLOOKUP(A118,[1]Tørstofindhold!A$2:B$24,2,FALSE),0)</f>
        <v>212140.13067488704</v>
      </c>
      <c r="W118" s="192">
        <f>J118*IFERROR(VLOOKUP(A118,[1]Tørstofindhold!A$2:B$24,2,FALSE),0)</f>
        <v>212140.13067488704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hidden="1" x14ac:dyDescent="0.25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O119*IFERROR(VLOOKUP(A119,[1]Tørstofindhold!A$2:B$24,2,FALSE),0)</f>
        <v>0</v>
      </c>
      <c r="V119" s="192">
        <f>IF(D119=År1,P119,SUM(O119,P119))*IFERROR(VLOOKUP(A119,[1]Tørstofindhold!A$2:B$24,2,FALSE),0)</f>
        <v>0</v>
      </c>
      <c r="W119" s="192">
        <f>J119*IFERROR(VLOOKUP(A119,[1]Tørstofindhold!A$2:B$24,2,FALSE),0)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O120*IFERROR(VLOOKUP(A120,[1]Tørstofindhold!A$2:B$24,2,FALSE),0)</f>
        <v>0</v>
      </c>
      <c r="V120" s="192">
        <f>IF(D120=År1,P120,SUM(O120,P120))*IFERROR(VLOOKUP(A120,[1]Tørstofindhold!A$2:B$24,2,FALSE),0)</f>
        <v>0</v>
      </c>
      <c r="W120" s="192">
        <f>J120*IFERROR(VLOOKUP(A120,[1]Tørstofindhold!A$2:B$24,2,FALSE),0)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1931921.2106545279</v>
      </c>
      <c r="O121" s="195">
        <f t="shared" si="20"/>
        <v>1931921.2106545279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6.6165596775222673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6.6262374962907611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6.6165596775222673</v>
      </c>
      <c r="U121" s="191">
        <f>O121*IFERROR(VLOOKUP(A121,[1]Tørstofindhold!A$2:B$24,2,FALSE),0)</f>
        <v>598895.57530290366</v>
      </c>
      <c r="V121" s="192">
        <f>IF(D121=År1,P121,SUM(O121,P121))*IFERROR(VLOOKUP(A121,[1]Tørstofindhold!A$2:B$24,2,FALSE),0)</f>
        <v>599771.55966963188</v>
      </c>
      <c r="W121" s="192">
        <f>J121*IFERROR(VLOOKUP(A121,[1]Tørstofindhold!A$2:B$24,2,FALSE),0)</f>
        <v>875.9843667282845</v>
      </c>
      <c r="X121" s="193">
        <f t="shared" si="26"/>
        <v>598895.57530290354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822588.45729733328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-822588.45729733328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O122*IFERROR(VLOOKUP(A122,[1]Tørstofindhold!A$2:B$24,2,FALSE),0)</f>
        <v>0</v>
      </c>
      <c r="V122" s="192">
        <f>IF(D122=År1,P122,SUM(O122,P122))*IFERROR(VLOOKUP(A122,[1]Tørstofindhold!A$2:B$24,2,FALSE),0)</f>
        <v>0</v>
      </c>
      <c r="W122" s="192">
        <f>J122*IFERROR(VLOOKUP(A122,[1]Tørstofindhold!A$2:B$24,2,FALSE),0)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hidden="1" x14ac:dyDescent="0.25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10188325.202039858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1619943.7071243373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825254.34136522934</v>
      </c>
      <c r="O123" s="195">
        <f t="shared" si="20"/>
        <v>825254.34136522934</v>
      </c>
      <c r="P123" s="205">
        <f t="shared" si="24"/>
        <v>7743127.1535502924</v>
      </c>
      <c r="Q123" s="192">
        <f>IFERROR(VLOOKUP(A123,[1]Energiindhold!$A$2:$C$11,3,FALSE),IFERROR(VLOOKUP(A123,[1]Biogasudbytte!$A$2:$B$18,2,FALSE)*[1]Energiindhold!$C$10,0))*O123</f>
        <v>0.41773549505566548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4.3372290289112883</v>
      </c>
      <c r="S123" s="192">
        <f>IFERROR(VLOOKUP(A123,[1]Biogasudbytte!$A$2:$B$18,2,FALSE)*[1]Energiindhold!$C$10,0)*J123*IFERROR(VLOOKUP(A123,Biogasanlæg!$F$3:$G$8,2,FALSE),1)</f>
        <v>3.9194935338556229</v>
      </c>
      <c r="T123" s="193">
        <f t="shared" si="25"/>
        <v>0.41773549505566532</v>
      </c>
      <c r="U123" s="191">
        <f>O123*IFERROR(VLOOKUP(A123,[1]Tørstofindhold!A$2:B$24,2,FALSE),0)</f>
        <v>62719.329943757431</v>
      </c>
      <c r="V123" s="192">
        <f>IF(D123=År1,P123,SUM(O123,P123))*IFERROR(VLOOKUP(A123,[1]Tørstofindhold!A$2:B$24,2,FALSE),0)</f>
        <v>651196.99361357966</v>
      </c>
      <c r="W123" s="192">
        <f>J123*IFERROR(VLOOKUP(A123,[1]Tørstofindhold!A$2:B$24,2,FALSE),0)</f>
        <v>588477.66366982216</v>
      </c>
      <c r="X123" s="193">
        <f t="shared" si="26"/>
        <v>62719.329943757504</v>
      </c>
      <c r="Y123" s="171">
        <f t="shared" si="21"/>
        <v>0</v>
      </c>
      <c r="Z123" s="103">
        <f t="shared" si="22"/>
        <v>1</v>
      </c>
    </row>
    <row r="124" spans="1:26" hidden="1" x14ac:dyDescent="0.25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1272706.7760624508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60135.437128841644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O124*IFERROR(VLOOKUP(A124,[1]Tørstofindhold!A$2:B$24,2,FALSE),0)</f>
        <v>0</v>
      </c>
      <c r="V124" s="192">
        <f>IF(D124=År1,P124,SUM(O124,P124))*IFERROR(VLOOKUP(A124,[1]Tørstofindhold!A$2:B$24,2,FALSE),0)</f>
        <v>0</v>
      </c>
      <c r="W124" s="192">
        <f>J124*IFERROR(VLOOKUP(A124,[1]Tørstofindhold!A$2:B$24,2,FALSE),0)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2946382.2533553997</v>
      </c>
      <c r="O125" s="195">
        <f t="shared" si="20"/>
        <v>2759146.6428546174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9.905336447848077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11.034481645088372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9.905336447848077</v>
      </c>
      <c r="U125" s="191">
        <f>O125*IFERROR(VLOOKUP(A125,[1]Tørstofindhold!A$2:B$24,2,FALSE),0)</f>
        <v>827743.99285638519</v>
      </c>
      <c r="V125" s="192">
        <f>IF(D125=År1,P125,SUM(O125,P125))*IFERROR(VLOOKUP(A125,[1]Tørstofindhold!A$2:B$24,2,FALSE),0)</f>
        <v>922101.530230226</v>
      </c>
      <c r="W125" s="192">
        <f>J125*IFERROR(VLOOKUP(A125,[1]Tørstofindhold!A$2:B$24,2,FALSE),0)</f>
        <v>94357.537373840722</v>
      </c>
      <c r="X125" s="193">
        <f t="shared" si="26"/>
        <v>827743.9928563853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2455663.5565474145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1964839.0076939645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O126*IFERROR(VLOOKUP(A126,[1]Tørstofindhold!A$2:B$24,2,FALSE),0)</f>
        <v>0</v>
      </c>
      <c r="V126" s="192">
        <f>IF(D126=År1,P126,SUM(O126,P126))*IFERROR(VLOOKUP(A126,[1]Tørstofindhold!A$2:B$24,2,FALSE),0)</f>
        <v>0</v>
      </c>
      <c r="W126" s="192">
        <f>J126*IFERROR(VLOOKUP(A126,[1]Tørstofindhold!A$2:B$24,2,FALSE),0)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O127*IFERROR(VLOOKUP(A127,[1]Tørstofindhold!A$2:B$24,2,FALSE),0)</f>
        <v>29214.269755046505</v>
      </c>
      <c r="V127" s="192">
        <f>IF(D127=År1,P127,SUM(O127,P127))*IFERROR(VLOOKUP(A127,[1]Tørstofindhold!A$2:B$24,2,FALSE),0)</f>
        <v>29214.269755046505</v>
      </c>
      <c r="W127" s="192">
        <f>J127*IFERROR(VLOOKUP(A127,[1]Tørstofindhold!A$2:B$24,2,FALSE),0)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82230.492590145455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19861.924916870877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O128*IFERROR(VLOOKUP(A128,[1]Tørstofindhold!A$2:B$24,2,FALSE),0)</f>
        <v>0</v>
      </c>
      <c r="V128" s="192">
        <f>IF(D128=År1,P128,SUM(O128,P128))*IFERROR(VLOOKUP(A128,[1]Tørstofindhold!A$2:B$24,2,FALSE),0)</f>
        <v>0</v>
      </c>
      <c r="W128" s="192">
        <f>J128*IFERROR(VLOOKUP(A128,[1]Tørstofindhold!A$2:B$24,2,FALSE),0)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O129*IFERROR(VLOOKUP(A129,[1]Tørstofindhold!A$2:B$24,2,FALSE),0)</f>
        <v>0</v>
      </c>
      <c r="V129" s="192">
        <f>IF(D129=År1,P129,SUM(O129,P129))*IFERROR(VLOOKUP(A129,[1]Tørstofindhold!A$2:B$24,2,FALSE),0)</f>
        <v>0</v>
      </c>
      <c r="W129" s="192">
        <f>J129*IFERROR(VLOOKUP(A129,[1]Tørstofindhold!A$2:B$24,2,FALSE),0)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O130*IFERROR(VLOOKUP(A130,[1]Tørstofindhold!A$2:B$24,2,FALSE),0)</f>
        <v>0</v>
      </c>
      <c r="V130" s="192">
        <f>IF(D130=År1,P130,SUM(O130,P130))*IFERROR(VLOOKUP(A130,[1]Tørstofindhold!A$2:B$24,2,FALSE),0)</f>
        <v>71286.674420262352</v>
      </c>
      <c r="W130" s="192">
        <f>J130*IFERROR(VLOOKUP(A130,[1]Tørstofindhold!A$2:B$24,2,FALSE),0)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O131*IFERROR(VLOOKUP(A131,[1]Tørstofindhold!A$2:B$24,2,FALSE),0)</f>
        <v>0</v>
      </c>
      <c r="V131" s="192">
        <f>IF(D131=År1,P131,SUM(O131,P131))*IFERROR(VLOOKUP(A131,[1]Tørstofindhold!A$2:B$24,2,FALSE),0)</f>
        <v>0</v>
      </c>
      <c r="W131" s="192">
        <f>J131*IFERROR(VLOOKUP(A131,[1]Tørstofindhold!A$2:B$24,2,FALSE),0)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O132*IFERROR(VLOOKUP(A132,[1]Tørstofindhold!A$2:B$24,2,FALSE),0)</f>
        <v>0</v>
      </c>
      <c r="V132" s="192">
        <f>IF(D132=År1,P132,SUM(O132,P132))*IFERROR(VLOOKUP(A132,[1]Tørstofindhold!A$2:B$24,2,FALSE),0)</f>
        <v>0</v>
      </c>
      <c r="W132" s="192">
        <f>J132*IFERROR(VLOOKUP(A132,[1]Tørstofindhold!A$2:B$24,2,FALSE),0)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3823969.5719075543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3823969.5719075543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O133*IFERROR(VLOOKUP(A133,[1]Tørstofindhold!A$2:B$24,2,FALSE),0)</f>
        <v>0</v>
      </c>
      <c r="V133" s="192">
        <f>IF(D133=År1,P133,SUM(O133,P133))*IFERROR(VLOOKUP(A133,[1]Tørstofindhold!A$2:B$24,2,FALSE),0)</f>
        <v>0</v>
      </c>
      <c r="W133" s="192">
        <f>J133*IFERROR(VLOOKUP(A133,[1]Tørstofindhold!A$2:B$24,2,FALSE),0)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O134*IFERROR(VLOOKUP(A134,[1]Tørstofindhold!A$2:B$24,2,FALSE),0)</f>
        <v>0</v>
      </c>
      <c r="V134" s="192">
        <f>IF(D134=År1,P134,SUM(O134,P134))*IFERROR(VLOOKUP(A134,[1]Tørstofindhold!A$2:B$24,2,FALSE),0)</f>
        <v>0</v>
      </c>
      <c r="W134" s="192">
        <f>J134*IFERROR(VLOOKUP(A134,[1]Tørstofindhold!A$2:B$24,2,FALSE),0)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73240.693697966664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O135*IFERROR(VLOOKUP(A135,[1]Tørstofindhold!A$2:B$24,2,FALSE),0)</f>
        <v>0</v>
      </c>
      <c r="V135" s="192">
        <f>IF(D135=År1,P135,SUM(O135,P135))*IFERROR(VLOOKUP(A135,[1]Tørstofindhold!A$2:B$24,2,FALSE),0)</f>
        <v>0</v>
      </c>
      <c r="W135" s="192">
        <f>J135*IFERROR(VLOOKUP(A135,[1]Tørstofindhold!A$2:B$24,2,FALSE),0)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O136*IFERROR(VLOOKUP(A136,[1]Tørstofindhold!A$2:B$24,2,FALSE),0)</f>
        <v>0</v>
      </c>
      <c r="V136" s="192">
        <f>IF(D136=År1,P136,SUM(O136,P136))*IFERROR(VLOOKUP(A136,[1]Tørstofindhold!A$2:B$24,2,FALSE),0)</f>
        <v>0</v>
      </c>
      <c r="W136" s="192">
        <f>J136*IFERROR(VLOOKUP(A136,[1]Tørstofindhold!A$2:B$24,2,FALSE),0)</f>
        <v>0</v>
      </c>
      <c r="X136" s="193">
        <f t="shared" si="26"/>
        <v>0</v>
      </c>
      <c r="Y136" s="171">
        <f t="shared" si="43"/>
        <v>0</v>
      </c>
      <c r="Z136" s="103">
        <f t="shared" si="44"/>
        <v>0</v>
      </c>
    </row>
    <row r="137" spans="1:26" hidden="1" x14ac:dyDescent="0.25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-296257.42264590901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O137*IFERROR(VLOOKUP(A137,[1]Tørstofindhold!A$2:B$24,2,FALSE),0)</f>
        <v>0</v>
      </c>
      <c r="V137" s="192">
        <f>IF(D137=År1,P137,SUM(O137,P137))*IFERROR(VLOOKUP(A137,[1]Tørstofindhold!A$2:B$24,2,FALSE),0)</f>
        <v>806.81415512585409</v>
      </c>
      <c r="W137" s="192">
        <f>J137*IFERROR(VLOOKUP(A137,[1]Tørstofindhold!A$2:B$24,2,FALSE),0)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148453.72937457461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148453.72937457461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O138*IFERROR(VLOOKUP(A138,[1]Tørstofindhold!A$2:B$24,2,FALSE),0)</f>
        <v>0</v>
      </c>
      <c r="V138" s="192">
        <f>IF(D138=År1,P138,SUM(O138,P138))*IFERROR(VLOOKUP(A138,[1]Tørstofindhold!A$2:B$24,2,FALSE),0)</f>
        <v>0</v>
      </c>
      <c r="W138" s="192">
        <f>J138*IFERROR(VLOOKUP(A138,[1]Tørstofindhold!A$2:B$24,2,FALSE),0)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100880.19861397019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69347.610603876325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O139*IFERROR(VLOOKUP(A139,[1]Tørstofindhold!A$2:B$24,2,FALSE),0)</f>
        <v>0</v>
      </c>
      <c r="V139" s="192">
        <f>IF(D139=År1,P139,SUM(O139,P139))*IFERROR(VLOOKUP(A139,[1]Tørstofindhold!A$2:B$24,2,FALSE),0)</f>
        <v>0</v>
      </c>
      <c r="W139" s="192">
        <f>J139*IFERROR(VLOOKUP(A139,[1]Tørstofindhold!A$2:B$24,2,FALSE),0)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4097932.7879593684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2543796.5149034681</v>
      </c>
      <c r="O140" s="195">
        <f t="shared" si="39"/>
        <v>2543796.5149034681</v>
      </c>
      <c r="P140" s="205">
        <f t="shared" si="24"/>
        <v>1554136.2730559006</v>
      </c>
      <c r="Q140" s="192">
        <f>IFERROR(VLOOKUP(A140,[1]Energiindhold!$A$2:$C$11,3,FALSE),IFERROR(VLOOKUP(A140,[1]Biogasudbytte!$A$2:$B$18,2,FALSE)*[1]Energiindhold!$C$10,0))*O140</f>
        <v>1.2693798989019798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2">
        <f>IFERROR(VLOOKUP(A140,[1]Biogasudbytte!$A$2:$B$18,2,FALSE)*[1]Energiindhold!$C$10,0)*J140*IFERROR(VLOOKUP(A140,Biogasanlæg!$F$3:$G$8,2,FALSE),1)</f>
        <v>0.77552954161762511</v>
      </c>
      <c r="T140" s="193">
        <f t="shared" si="25"/>
        <v>1.2693798989019798</v>
      </c>
      <c r="U140" s="191">
        <f>O140*IFERROR(VLOOKUP(A140,[1]Tørstofindhold!A$2:B$24,2,FALSE),0)</f>
        <v>152627.79089420807</v>
      </c>
      <c r="V140" s="192">
        <f>IF(D140=År1,P140,SUM(O140,P140))*IFERROR(VLOOKUP(A140,[1]Tørstofindhold!A$2:B$24,2,FALSE),0)</f>
        <v>245875.96727756213</v>
      </c>
      <c r="W140" s="192">
        <f>J140*IFERROR(VLOOKUP(A140,[1]Tørstofindhold!A$2:B$24,2,FALSE),0)</f>
        <v>93248.176383354032</v>
      </c>
      <c r="X140" s="193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11545833.414063649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6119291.7094537346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92">
        <f>IFERROR(VLOOKUP(A141,[1]Biogasudbytte!$A$2:$B$18,2,FALSE)*[1]Energiindhold!$C$10,0)*J141*IFERROR(VLOOKUP(A141,Biogasanlæg!$F$3:$G$8,2,FALSE),1)</f>
        <v>2.6361908684326694</v>
      </c>
      <c r="T141" s="193">
        <f t="shared" si="25"/>
        <v>0</v>
      </c>
      <c r="U141" s="191">
        <f>O141*IFERROR(VLOOKUP(A141,[1]Tørstofindhold!A$2:B$24,2,FALSE),0)</f>
        <v>0</v>
      </c>
      <c r="V141" s="192">
        <f>IF(D141=År1,P141,SUM(O141,P141))*IFERROR(VLOOKUP(A141,[1]Tørstofindhold!A$2:B$24,2,FALSE),0)</f>
        <v>305964.58547268674</v>
      </c>
      <c r="W141" s="192">
        <f>J141*IFERROR(VLOOKUP(A141,[1]Tørstofindhold!A$2:B$24,2,FALSE),0)</f>
        <v>305964.58547268674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1072120.6999068451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945493.60796413617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O142*IFERROR(VLOOKUP(A142,[1]Tørstofindhold!A$2:B$24,2,FALSE),0)</f>
        <v>0</v>
      </c>
      <c r="V142" s="192">
        <f>IF(D142=År1,P142,SUM(O142,P142))*IFERROR(VLOOKUP(A142,[1]Tørstofindhold!A$2:B$24,2,FALSE),0)</f>
        <v>0</v>
      </c>
      <c r="W142" s="192">
        <f>J142*IFERROR(VLOOKUP(A142,[1]Tørstofindhold!A$2:B$24,2,FALSE),0)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O143*IFERROR(VLOOKUP(A143,[1]Tørstofindhold!A$2:B$24,2,FALSE),0)</f>
        <v>2025</v>
      </c>
      <c r="V143" s="192">
        <f>IF(D143=År1,P143,SUM(O143,P143))*IFERROR(VLOOKUP(A143,[1]Tørstofindhold!A$2:B$24,2,FALSE),0)</f>
        <v>2025</v>
      </c>
      <c r="W143" s="192">
        <f>J143*IFERROR(VLOOKUP(A143,[1]Tørstofindhold!A$2:B$24,2,FALSE),0)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hidden="1" x14ac:dyDescent="0.25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O144*IFERROR(VLOOKUP(A144,[1]Tørstofindhold!A$2:B$24,2,FALSE),0)</f>
        <v>0</v>
      </c>
      <c r="V144" s="192">
        <f>IF(D144=År1,P144,SUM(O144,P144))*IFERROR(VLOOKUP(A144,[1]Tørstofindhold!A$2:B$24,2,FALSE),0)</f>
        <v>0</v>
      </c>
      <c r="W144" s="192">
        <f>J144*IFERROR(VLOOKUP(A144,[1]Tørstofindhold!A$2:B$24,2,FALSE),0)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O145*IFERROR(VLOOKUP(A145,[1]Tørstofindhold!A$2:B$24,2,FALSE),0)</f>
        <v>0</v>
      </c>
      <c r="V145" s="192">
        <f>IF(D145=År1,P145,SUM(O145,P145))*IFERROR(VLOOKUP(A145,[1]Tørstofindhold!A$2:B$24,2,FALSE),0)</f>
        <v>989728.33693918446</v>
      </c>
      <c r="W145" s="192">
        <f>J145*IFERROR(VLOOKUP(A145,[1]Tørstofindhold!A$2:B$24,2,FALSE),0)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O146*IFERROR(VLOOKUP(A146,[1]Tørstofindhold!A$2:B$24,2,FALSE),0)</f>
        <v>0</v>
      </c>
      <c r="V146" s="192">
        <f>IF(D146=År1,P146,SUM(O146,P146))*IFERROR(VLOOKUP(A146,[1]Tørstofindhold!A$2:B$24,2,FALSE),0)</f>
        <v>0</v>
      </c>
      <c r="W146" s="192">
        <f>J146*IFERROR(VLOOKUP(A146,[1]Tørstofindhold!A$2:B$24,2,FALSE),0)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hidden="1" x14ac:dyDescent="0.25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O147*IFERROR(VLOOKUP(A147,[1]Tørstofindhold!A$2:B$24,2,FALSE),0)</f>
        <v>0</v>
      </c>
      <c r="V147" s="192">
        <f>IF(D147=År1,P147,SUM(O147,P147))*IFERROR(VLOOKUP(A147,[1]Tørstofindhold!A$2:B$24,2,FALSE),0)</f>
        <v>0</v>
      </c>
      <c r="W147" s="192">
        <f>J147*IFERROR(VLOOKUP(A147,[1]Tørstofindhold!A$2:B$24,2,FALSE),0)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O148*IFERROR(VLOOKUP(A148,[1]Tørstofindhold!A$2:B$24,2,FALSE),0)</f>
        <v>0</v>
      </c>
      <c r="V148" s="192">
        <f>IF(D148=År1,P148,SUM(O148,P148))*IFERROR(VLOOKUP(A148,[1]Tørstofindhold!A$2:B$24,2,FALSE),0)</f>
        <v>0</v>
      </c>
      <c r="W148" s="192">
        <f>J148*IFERROR(VLOOKUP(A148,[1]Tørstofindhold!A$2:B$24,2,FALSE),0)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4" t="s">
        <v>103</v>
      </c>
      <c r="B149" s="194" t="s">
        <v>232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O149*IFERROR(VLOOKUP(A149,[1]Tørstofindhold!A$2:B$24,2,FALSE),0)</f>
        <v>0</v>
      </c>
      <c r="V149" s="192">
        <f ca="1">IF(D149=År1,P149,SUM(O149,P149))*IFERROR(VLOOKUP(A149,[1]Tørstofindhold!A$2:B$24,2,FALSE),0)</f>
        <v>93965.299605017586</v>
      </c>
      <c r="W149" s="192">
        <f ca="1">J149*IFERROR(VLOOKUP(A149,[1]Tørstofindhold!A$2:B$24,2,FALSE),0)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hidden="1" x14ac:dyDescent="0.25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O150*IFERROR(VLOOKUP(A150,[1]Tørstofindhold!A$2:B$24,2,FALSE),0)</f>
        <v>0</v>
      </c>
      <c r="V150" s="192">
        <f ca="1">IF(D150=År1,P150,SUM(O150,P150))*IFERROR(VLOOKUP(A150,[1]Tørstofindhold!A$2:B$24,2,FALSE),0)</f>
        <v>0</v>
      </c>
      <c r="W150" s="192">
        <f>J150*IFERROR(VLOOKUP(A150,[1]Tørstofindhold!A$2:B$24,2,FALSE),0)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O151*IFERROR(VLOOKUP(A151,[1]Tørstofindhold!A$2:B$24,2,FALSE),0)</f>
        <v>0</v>
      </c>
      <c r="V151" s="192">
        <f>IF(D151=År1,P151,SUM(O151,P151))*IFERROR(VLOOKUP(A151,[1]Tørstofindhold!A$2:B$24,2,FALSE),0)</f>
        <v>0</v>
      </c>
      <c r="W151" s="192">
        <f>J151*IFERROR(VLOOKUP(A151,[1]Tørstofindhold!A$2:B$24,2,FALSE),0)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hidden="1" x14ac:dyDescent="0.25">
      <c r="A152" s="194" t="s">
        <v>210</v>
      </c>
      <c r="B152" s="194" t="s">
        <v>232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O152*IFERROR(VLOOKUP(A152,[1]Tørstofindhold!A$2:B$24,2,FALSE),0)</f>
        <v>0</v>
      </c>
      <c r="V152" s="192">
        <f>IF(D152=År1,P152,SUM(O152,P152))*IFERROR(VLOOKUP(A152,[1]Tørstofindhold!A$2:B$24,2,FALSE),0)</f>
        <v>0</v>
      </c>
      <c r="W152" s="192">
        <f>J152*IFERROR(VLOOKUP(A152,[1]Tørstofindhold!A$2:B$24,2,FALSE),0)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2" t="s">
        <v>102</v>
      </c>
      <c r="B153" s="194" t="s">
        <v>224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O153*IFERROR(VLOOKUP(A153,[1]Tørstofindhold!A$2:B$24,2,FALSE),0)</f>
        <v>46023.172979508287</v>
      </c>
      <c r="V153" s="192">
        <f>IF(D153=År1,P153,SUM(O153,P153))*IFERROR(VLOOKUP(A153,[1]Tørstofindhold!A$2:B$24,2,FALSE),0)</f>
        <v>25767.69853491227</v>
      </c>
      <c r="W153" s="192">
        <f>J153*IFERROR(VLOOKUP(A153,[1]Tørstofindhold!A$2:B$24,2,FALSE),0)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O154*IFERROR(VLOOKUP(A154,[1]Tørstofindhold!A$2:B$24,2,FALSE),0)</f>
        <v>0</v>
      </c>
      <c r="V154" s="192">
        <f>IF(D154=År1,P154,SUM(O154,P154))*IFERROR(VLOOKUP(A154,[1]Tørstofindhold!A$2:B$24,2,FALSE),0)</f>
        <v>0</v>
      </c>
      <c r="W154" s="192">
        <f>J154*IFERROR(VLOOKUP(A154,[1]Tørstofindhold!A$2:B$24,2,FALSE),0)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2" t="s">
        <v>138</v>
      </c>
      <c r="B155" s="194" t="s">
        <v>224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O155*IFERROR(VLOOKUP(A155,[1]Tørstofindhold!A$2:B$24,2,FALSE),0)</f>
        <v>5.1667154758723441</v>
      </c>
      <c r="V155" s="192">
        <f>IF(D155=År1,P155,SUM(O155,P155))*IFERROR(VLOOKUP(A155,[1]Tørstofindhold!A$2:B$24,2,FALSE),0)</f>
        <v>21.274710783003783</v>
      </c>
      <c r="W155" s="192">
        <f>J155*IFERROR(VLOOKUP(A155,[1]Tørstofindhold!A$2:B$24,2,FALSE),0)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hidden="1" x14ac:dyDescent="0.25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O156*IFERROR(VLOOKUP(A156,[1]Tørstofindhold!A$2:B$24,2,FALSE),0)</f>
        <v>0</v>
      </c>
      <c r="V156" s="192">
        <f>IF(D156=År1,P156,SUM(O156,P156))*IFERROR(VLOOKUP(A156,[1]Tørstofindhold!A$2:B$24,2,FALSE),0)</f>
        <v>0</v>
      </c>
      <c r="W156" s="192">
        <f>J156*IFERROR(VLOOKUP(A156,[1]Tørstofindhold!A$2:B$24,2,FALSE),0)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O157*IFERROR(VLOOKUP(A157,[1]Tørstofindhold!A$2:B$24,2,FALSE),0)</f>
        <v>0</v>
      </c>
      <c r="V157" s="192">
        <f>IF(D157=År1,P157,SUM(O157,P157))*IFERROR(VLOOKUP(A157,[1]Tørstofindhold!A$2:B$24,2,FALSE),0)</f>
        <v>0</v>
      </c>
      <c r="W157" s="192">
        <f>J157*IFERROR(VLOOKUP(A157,[1]Tørstofindhold!A$2:B$24,2,FALSE),0)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O158*IFERROR(VLOOKUP(A158,[1]Tørstofindhold!A$2:B$24,2,FALSE),0)</f>
        <v>0</v>
      </c>
      <c r="V158" s="192">
        <f>IF(D158=År1,P158,SUM(O158,P158))*IFERROR(VLOOKUP(A158,[1]Tørstofindhold!A$2:B$24,2,FALSE),0)</f>
        <v>0</v>
      </c>
      <c r="W158" s="192">
        <f>J158*IFERROR(VLOOKUP(A158,[1]Tørstofindhold!A$2:B$24,2,FALSE),0)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O159*IFERROR(VLOOKUP(A159,[1]Tørstofindhold!A$2:B$24,2,FALSE),0)</f>
        <v>0</v>
      </c>
      <c r="V159" s="192">
        <f>IF(D159=År1,P159,SUM(O159,P159))*IFERROR(VLOOKUP(A159,[1]Tørstofindhold!A$2:B$24,2,FALSE),0)</f>
        <v>25693.56</v>
      </c>
      <c r="W159" s="192">
        <f>J159*IFERROR(VLOOKUP(A159,[1]Tørstofindhold!A$2:B$24,2,FALSE),0)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4" t="s">
        <v>51</v>
      </c>
      <c r="B160" s="194" t="s">
        <v>226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O160*IFERROR(VLOOKUP(A160,[1]Tørstofindhold!A$2:B$24,2,FALSE),0)</f>
        <v>158991.90017574377</v>
      </c>
      <c r="V160" s="192">
        <f>IF(D160=År1,P160,SUM(O160,P160))*IFERROR(VLOOKUP(A160,[1]Tørstofindhold!A$2:B$24,2,FALSE),0)</f>
        <v>2780.6341080944362</v>
      </c>
      <c r="W160" s="192">
        <f>J160*IFERROR(VLOOKUP(A160,[1]Tørstofindhold!A$2:B$24,2,FALSE),0)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O161*IFERROR(VLOOKUP(A161,[1]Tørstofindhold!A$2:B$24,2,FALSE),0)</f>
        <v>0</v>
      </c>
      <c r="V161" s="192">
        <f>IF(D161=År1,P161,SUM(O161,P161))*IFERROR(VLOOKUP(A161,[1]Tørstofindhold!A$2:B$24,2,FALSE),0)</f>
        <v>0</v>
      </c>
      <c r="W161" s="192">
        <f>J161*IFERROR(VLOOKUP(A161,[1]Tørstofindhold!A$2:B$24,2,FALSE),0)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O162*IFERROR(VLOOKUP(A162,[1]Tørstofindhold!A$2:B$24,2,FALSE),0)</f>
        <v>0</v>
      </c>
      <c r="V162" s="192">
        <f>IF(D162=År1,P162,SUM(O162,P162))*IFERROR(VLOOKUP(A162,[1]Tørstofindhold!A$2:B$24,2,FALSE),0)</f>
        <v>0</v>
      </c>
      <c r="W162" s="192">
        <f>J162*IFERROR(VLOOKUP(A162,[1]Tørstofindhold!A$2:B$24,2,FALSE),0)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4" t="s">
        <v>68</v>
      </c>
      <c r="B163" s="194" t="s">
        <v>229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O163*IFERROR(VLOOKUP(A163,[1]Tørstofindhold!A$2:B$24,2,FALSE),0)</f>
        <v>0</v>
      </c>
      <c r="V163" s="192">
        <f>IF(D163=År1,P163,SUM(O163,P163))*IFERROR(VLOOKUP(A163,[1]Tørstofindhold!A$2:B$24,2,FALSE),0)</f>
        <v>643424.50540230493</v>
      </c>
      <c r="W163" s="192">
        <f>J163*IFERROR(VLOOKUP(A163,[1]Tørstofindhold!A$2:B$24,2,FALSE),0)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4" t="s">
        <v>163</v>
      </c>
      <c r="B164" s="194" t="s">
        <v>232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O164*IFERROR(VLOOKUP(A164,[1]Tørstofindhold!A$2:B$24,2,FALSE),0)</f>
        <v>0</v>
      </c>
      <c r="V164" s="192">
        <f>IF(D164=År1,P164,SUM(O164,P164))*IFERROR(VLOOKUP(A164,[1]Tørstofindhold!A$2:B$24,2,FALSE),0)</f>
        <v>135703.9537013004</v>
      </c>
      <c r="W164" s="192">
        <f>J164*IFERROR(VLOOKUP(A164,[1]Tørstofindhold!A$2:B$24,2,FALSE),0)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O165*IFERROR(VLOOKUP(A165,[1]Tørstofindhold!A$2:B$24,2,FALSE),0)</f>
        <v>0</v>
      </c>
      <c r="V165" s="192">
        <f>IF(D165=År1,P165,SUM(O165,P165))*IFERROR(VLOOKUP(A165,[1]Tørstofindhold!A$2:B$24,2,FALSE),0)</f>
        <v>0</v>
      </c>
      <c r="W165" s="192">
        <f>J165*IFERROR(VLOOKUP(A165,[1]Tørstofindhold!A$2:B$24,2,FALSE),0)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4" t="s">
        <v>104</v>
      </c>
      <c r="B166" s="194" t="s">
        <v>232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O166*IFERROR(VLOOKUP(A166,[1]Tørstofindhold!A$2:B$24,2,FALSE),0)</f>
        <v>0</v>
      </c>
      <c r="V166" s="192">
        <f>IF(D166=År1,P166,SUM(O166,P166))*IFERROR(VLOOKUP(A166,[1]Tørstofindhold!A$2:B$24,2,FALSE),0)</f>
        <v>117411.1041450089</v>
      </c>
      <c r="W166" s="192">
        <f>J166*IFERROR(VLOOKUP(A166,[1]Tørstofindhold!A$2:B$24,2,FALSE),0)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O167*IFERROR(VLOOKUP(A167,[1]Tørstofindhold!A$2:B$24,2,FALSE),0)</f>
        <v>0</v>
      </c>
      <c r="V167" s="192">
        <f>IF(D167=År1,P167,SUM(O167,P167))*IFERROR(VLOOKUP(A167,[1]Tørstofindhold!A$2:B$24,2,FALSE),0)</f>
        <v>0</v>
      </c>
      <c r="W167" s="192">
        <f>J167*IFERROR(VLOOKUP(A167,[1]Tørstofindhold!A$2:B$24,2,FALSE),0)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O168*IFERROR(VLOOKUP(A168,[1]Tørstofindhold!A$2:B$24,2,FALSE),0)</f>
        <v>0</v>
      </c>
      <c r="V168" s="192">
        <f>IF(D168=År1,P168,SUM(O168,P168))*IFERROR(VLOOKUP(A168,[1]Tørstofindhold!A$2:B$24,2,FALSE),0)</f>
        <v>0</v>
      </c>
      <c r="W168" s="192">
        <f>J168*IFERROR(VLOOKUP(A168,[1]Tørstofindhold!A$2:B$24,2,FALSE),0)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4" t="s">
        <v>48</v>
      </c>
      <c r="B169" s="194" t="s">
        <v>229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O169*IFERROR(VLOOKUP(A169,[1]Tørstofindhold!A$2:B$24,2,FALSE),0)</f>
        <v>405810.34249165189</v>
      </c>
      <c r="V169" s="192">
        <f>IF(D169=År1,P169,SUM(O169,P169))*IFERROR(VLOOKUP(A169,[1]Tørstofindhold!A$2:B$24,2,FALSE),0)</f>
        <v>293.20254797942562</v>
      </c>
      <c r="W169" s="192">
        <f>J169*IFERROR(VLOOKUP(A169,[1]Tørstofindhold!A$2:B$24,2,FALSE),0)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O170*IFERROR(VLOOKUP(A170,[1]Tørstofindhold!A$2:B$24,2,FALSE),0)</f>
        <v>0</v>
      </c>
      <c r="V170" s="192">
        <f>IF(D170=År1,P170,SUM(O170,P170))*IFERROR(VLOOKUP(A170,[1]Tørstofindhold!A$2:B$24,2,FALSE),0)</f>
        <v>0</v>
      </c>
      <c r="W170" s="192">
        <f>J170*IFERROR(VLOOKUP(A170,[1]Tørstofindhold!A$2:B$24,2,FALSE),0)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hidden="1" x14ac:dyDescent="0.25">
      <c r="A171" s="194" t="s">
        <v>137</v>
      </c>
      <c r="B171" s="194" t="s">
        <v>224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O171*IFERROR(VLOOKUP(A171,[1]Tørstofindhold!A$2:B$24,2,FALSE),0)</f>
        <v>16375.964438075878</v>
      </c>
      <c r="V171" s="192">
        <f>IF(D171=År1,P171,SUM(O171,P171))*IFERROR(VLOOKUP(A171,[1]Tørstofindhold!A$2:B$24,2,FALSE),0)</f>
        <v>21785.024548619625</v>
      </c>
      <c r="W171" s="192">
        <f>J171*IFERROR(VLOOKUP(A171,[1]Tørstofindhold!A$2:B$24,2,FALSE),0)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hidden="1" x14ac:dyDescent="0.25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O172*IFERROR(VLOOKUP(A172,[1]Tørstofindhold!A$2:B$24,2,FALSE),0)</f>
        <v>0</v>
      </c>
      <c r="V172" s="192">
        <f>IF(D172=År1,P172,SUM(O172,P172))*IFERROR(VLOOKUP(A172,[1]Tørstofindhold!A$2:B$24,2,FALSE),0)</f>
        <v>0</v>
      </c>
      <c r="W172" s="192">
        <f>J172*IFERROR(VLOOKUP(A172,[1]Tørstofindhold!A$2:B$24,2,FALSE),0)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2" t="s">
        <v>53</v>
      </c>
      <c r="B173" s="194" t="s">
        <v>226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O173*IFERROR(VLOOKUP(A173,[1]Tørstofindhold!A$2:B$24,2,FALSE),0)</f>
        <v>0</v>
      </c>
      <c r="V173" s="192">
        <f>IF(D173=År1,P173,SUM(O173,P173))*IFERROR(VLOOKUP(A173,[1]Tørstofindhold!A$2:B$24,2,FALSE),0)</f>
        <v>4561.3695205316753</v>
      </c>
      <c r="W173" s="192">
        <f>J173*IFERROR(VLOOKUP(A173,[1]Tørstofindhold!A$2:B$24,2,FALSE),0)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O174*IFERROR(VLOOKUP(A174,[1]Tørstofindhold!A$2:B$24,2,FALSE),0)</f>
        <v>0</v>
      </c>
      <c r="V174" s="192">
        <f>IF(D174=År1,P174,SUM(O174,P174))*IFERROR(VLOOKUP(A174,[1]Tørstofindhold!A$2:B$24,2,FALSE),0)</f>
        <v>0</v>
      </c>
      <c r="W174" s="192">
        <f>J174*IFERROR(VLOOKUP(A174,[1]Tørstofindhold!A$2:B$24,2,FALSE),0)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4" t="s">
        <v>107</v>
      </c>
      <c r="B175" s="194" t="s">
        <v>228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O175*IFERROR(VLOOKUP(A175,[1]Tørstofindhold!A$2:B$24,2,FALSE),0)</f>
        <v>0.17965298253572234</v>
      </c>
      <c r="V175" s="192">
        <f>IF(D175=År1,P175,SUM(O175,P175))*IFERROR(VLOOKUP(A175,[1]Tørstofindhold!A$2:B$24,2,FALSE),0)</f>
        <v>0</v>
      </c>
      <c r="W175" s="192">
        <f>J175*IFERROR(VLOOKUP(A175,[1]Tørstofindhold!A$2:B$24,2,FALSE),0)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O176*IFERROR(VLOOKUP(A176,[1]Tørstofindhold!A$2:B$24,2,FALSE),0)</f>
        <v>0</v>
      </c>
      <c r="V176" s="192">
        <f>IF(D176=År1,P176,SUM(O176,P176))*IFERROR(VLOOKUP(A176,[1]Tørstofindhold!A$2:B$24,2,FALSE),0)</f>
        <v>0</v>
      </c>
      <c r="W176" s="192">
        <f>J176*IFERROR(VLOOKUP(A176,[1]Tørstofindhold!A$2:B$24,2,FALSE),0)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O177*IFERROR(VLOOKUP(A177,[1]Tørstofindhold!A$2:B$24,2,FALSE),0)</f>
        <v>0</v>
      </c>
      <c r="V177" s="192">
        <f>IF(D177=År1,P177,SUM(O177,P177))*IFERROR(VLOOKUP(A177,[1]Tørstofindhold!A$2:B$24,2,FALSE),0)</f>
        <v>0</v>
      </c>
      <c r="W177" s="192">
        <f>J177*IFERROR(VLOOKUP(A177,[1]Tørstofindhold!A$2:B$24,2,FALSE),0)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4" t="s">
        <v>96</v>
      </c>
      <c r="B178" s="194" t="s">
        <v>227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O178*IFERROR(VLOOKUP(A178,[1]Tørstofindhold!A$2:B$24,2,FALSE),0)</f>
        <v>0</v>
      </c>
      <c r="V178" s="192">
        <f>IF(D178=År1,P178,SUM(O178,P178))*IFERROR(VLOOKUP(A178,[1]Tørstofindhold!A$2:B$24,2,FALSE),0)</f>
        <v>15594.58777718433</v>
      </c>
      <c r="W178" s="192">
        <f>J178*IFERROR(VLOOKUP(A178,[1]Tørstofindhold!A$2:B$24,2,FALSE),0)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4" t="s">
        <v>316</v>
      </c>
      <c r="B179" s="194" t="s">
        <v>322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O179*IFERROR(VLOOKUP(A179,[1]Tørstofindhold!A$2:B$24,2,FALSE),0)</f>
        <v>0</v>
      </c>
      <c r="V179" s="192">
        <f>IF(D179=År1,P179,SUM(O179,P179))*IFERROR(VLOOKUP(A179,[1]Tørstofindhold!A$2:B$24,2,FALSE),0)</f>
        <v>0</v>
      </c>
      <c r="W179" s="192">
        <f>J179*IFERROR(VLOOKUP(A179,[1]Tørstofindhold!A$2:B$24,2,FALSE),0)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4" t="s">
        <v>317</v>
      </c>
      <c r="B180" s="194" t="s">
        <v>322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O180*IFERROR(VLOOKUP(A180,[1]Tørstofindhold!A$2:B$24,2,FALSE),0)</f>
        <v>0</v>
      </c>
      <c r="V180" s="192">
        <f>IF(D180=År1,P180,SUM(O180,P180))*IFERROR(VLOOKUP(A180,[1]Tørstofindhold!A$2:B$24,2,FALSE),0)</f>
        <v>0</v>
      </c>
      <c r="W180" s="192">
        <f>J180*IFERROR(VLOOKUP(A180,[1]Tørstofindhold!A$2:B$24,2,FALSE),0)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O181*IFERROR(VLOOKUP(A181,[1]Tørstofindhold!A$2:B$24,2,FALSE),0)</f>
        <v>0</v>
      </c>
      <c r="V181" s="192">
        <f>IF(D181=År1,P181,SUM(O181,P181))*IFERROR(VLOOKUP(A181,[1]Tørstofindhold!A$2:B$24,2,FALSE),0)</f>
        <v>0</v>
      </c>
      <c r="W181" s="192">
        <f>J181*IFERROR(VLOOKUP(A181,[1]Tørstofindhold!A$2:B$24,2,FALSE),0)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O182*IFERROR(VLOOKUP(A182,[1]Tørstofindhold!A$2:B$24,2,FALSE),0)</f>
        <v>0</v>
      </c>
      <c r="V182" s="192">
        <f>IF(D182=År1,P182,SUM(O182,P182))*IFERROR(VLOOKUP(A182,[1]Tørstofindhold!A$2:B$24,2,FALSE),0)</f>
        <v>0</v>
      </c>
      <c r="W182" s="192">
        <f>J182*IFERROR(VLOOKUP(A182,[1]Tørstofindhold!A$2:B$24,2,FALSE),0)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2" t="s">
        <v>240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O183*IFERROR(VLOOKUP(A183,[1]Tørstofindhold!A$2:B$24,2,FALSE),0)</f>
        <v>0</v>
      </c>
      <c r="V183" s="192">
        <f>IF(D183=År1,P183,SUM(O183,P183))*IFERROR(VLOOKUP(A183,[1]Tørstofindhold!A$2:B$24,2,FALSE),0)</f>
        <v>0</v>
      </c>
      <c r="W183" s="192">
        <f>J183*IFERROR(VLOOKUP(A183,[1]Tørstofindhold!A$2:B$24,2,FALSE),0)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2" t="s">
        <v>233</v>
      </c>
      <c r="B184" s="194" t="s">
        <v>233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4">
        <f t="shared" si="48"/>
        <v>0</v>
      </c>
      <c r="O184" s="195">
        <f t="shared" si="39"/>
        <v>0</v>
      </c>
      <c r="P184" s="205">
        <f t="shared" si="49"/>
        <v>32210.735628649098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1.1273757470027184</v>
      </c>
      <c r="U184" s="191">
        <f>O184*IFERROR(VLOOKUP(A184,[1]Tørstofindhold!A$2:B$24,2,FALSE),0)</f>
        <v>0</v>
      </c>
      <c r="V184" s="192">
        <f>IF(D184=År1,P184,SUM(O184,P184))*IFERROR(VLOOKUP(A184,[1]Tørstofindhold!A$2:B$24,2,FALSE),0)</f>
        <v>0</v>
      </c>
      <c r="W184" s="192">
        <f>J184*IFERROR(VLOOKUP(A184,[1]Tørstofindhold!A$2:B$24,2,FALSE),0)</f>
        <v>0</v>
      </c>
      <c r="X184" s="193">
        <f t="shared" si="51"/>
        <v>0</v>
      </c>
      <c r="Y184" s="171">
        <f t="shared" si="43"/>
        <v>0</v>
      </c>
      <c r="Z184" s="103">
        <f t="shared" si="44"/>
        <v>0</v>
      </c>
    </row>
    <row r="185" spans="1:26" hidden="1" x14ac:dyDescent="0.25">
      <c r="A185" s="192" t="s">
        <v>52</v>
      </c>
      <c r="B185" s="194" t="s">
        <v>226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O185*IFERROR(VLOOKUP(A185,[1]Tørstofindhold!A$2:B$24,2,FALSE),0)</f>
        <v>331272.92830018292</v>
      </c>
      <c r="V185" s="192">
        <f>IF(D185=År1,P185,SUM(O185,P185))*IFERROR(VLOOKUP(A185,[1]Tørstofindhold!A$2:B$24,2,FALSE),0)</f>
        <v>4908.7902151605549</v>
      </c>
      <c r="W185" s="192">
        <f>J185*IFERROR(VLOOKUP(A185,[1]Tørstofindhold!A$2:B$24,2,FALSE),0)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O186*IFERROR(VLOOKUP(A186,[1]Tørstofindhold!A$2:B$24,2,FALSE),0)</f>
        <v>0</v>
      </c>
      <c r="V186" s="192">
        <f>IF(D186=År1,P186,SUM(O186,P186))*IFERROR(VLOOKUP(A186,[1]Tørstofindhold!A$2:B$24,2,FALSE),0)</f>
        <v>0</v>
      </c>
      <c r="W186" s="192">
        <f>J186*IFERROR(VLOOKUP(A186,[1]Tørstofindhold!A$2:B$24,2,FALSE),0)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O187*IFERROR(VLOOKUP(A187,[1]Tørstofindhold!A$2:B$24,2,FALSE),0)</f>
        <v>0</v>
      </c>
      <c r="V187" s="192">
        <f>IF(D187=År1,P187,SUM(O187,P187))*IFERROR(VLOOKUP(A187,[1]Tørstofindhold!A$2:B$24,2,FALSE),0)</f>
        <v>0</v>
      </c>
      <c r="W187" s="192">
        <f>J187*IFERROR(VLOOKUP(A187,[1]Tørstofindhold!A$2:B$24,2,FALSE),0)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4" t="s">
        <v>141</v>
      </c>
      <c r="B188" s="194" t="s">
        <v>232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O188*IFERROR(VLOOKUP(A188,[1]Tørstofindhold!A$2:B$24,2,FALSE),0)</f>
        <v>118698.59693418349</v>
      </c>
      <c r="V188" s="192">
        <f>IF(D188=År1,P188,SUM(O188,P188))*IFERROR(VLOOKUP(A188,[1]Tørstofindhold!A$2:B$24,2,FALSE),0)</f>
        <v>72519.084752050971</v>
      </c>
      <c r="W188" s="192">
        <f>J188*IFERROR(VLOOKUP(A188,[1]Tørstofindhold!A$2:B$24,2,FALSE),0)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4" t="s">
        <v>136</v>
      </c>
      <c r="B189" s="194" t="s">
        <v>224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O189*IFERROR(VLOOKUP(A189,[1]Tørstofindhold!A$2:B$24,2,FALSE),0)</f>
        <v>0</v>
      </c>
      <c r="V189" s="192">
        <f>IF(D189=År1,P189,SUM(O189,P189))*IFERROR(VLOOKUP(A189,[1]Tørstofindhold!A$2:B$24,2,FALSE),0)</f>
        <v>19021.363017805568</v>
      </c>
      <c r="W189" s="192">
        <f>J189*IFERROR(VLOOKUP(A189,[1]Tørstofindhold!A$2:B$24,2,FALSE),0)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O190*IFERROR(VLOOKUP(A190,[1]Tørstofindhold!A$2:B$24,2,FALSE),0)</f>
        <v>0</v>
      </c>
      <c r="V190" s="192">
        <f>IF(D190=År1,P190,SUM(O190,P190))*IFERROR(VLOOKUP(A190,[1]Tørstofindhold!A$2:B$24,2,FALSE),0)</f>
        <v>0</v>
      </c>
      <c r="W190" s="192">
        <f>J190*IFERROR(VLOOKUP(A190,[1]Tørstofindhold!A$2:B$24,2,FALSE),0)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4" t="s">
        <v>100</v>
      </c>
      <c r="B191" s="194" t="s">
        <v>228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O191*IFERROR(VLOOKUP(A191,[1]Tørstofindhold!A$2:B$24,2,FALSE),0)</f>
        <v>0</v>
      </c>
      <c r="V191" s="192">
        <f>IF(D191=År1,P191,SUM(O191,P191))*IFERROR(VLOOKUP(A191,[1]Tørstofindhold!A$2:B$24,2,FALSE),0)</f>
        <v>0</v>
      </c>
      <c r="W191" s="192">
        <f>J191*IFERROR(VLOOKUP(A191,[1]Tørstofindhold!A$2:B$24,2,FALSE),0)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O192*IFERROR(VLOOKUP(A192,[1]Tørstofindhold!A$2:B$24,2,FALSE),0)</f>
        <v>0</v>
      </c>
      <c r="V192" s="192">
        <f>IF(D192=År1,P192,SUM(O192,P192))*IFERROR(VLOOKUP(A192,[1]Tørstofindhold!A$2:B$24,2,FALSE),0)</f>
        <v>0</v>
      </c>
      <c r="W192" s="192">
        <f>J192*IFERROR(VLOOKUP(A192,[1]Tørstofindhold!A$2:B$24,2,FALSE),0)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4" t="s">
        <v>120</v>
      </c>
      <c r="B193" s="194" t="s">
        <v>227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O193*IFERROR(VLOOKUP(A193,[1]Tørstofindhold!A$2:B$24,2,FALSE),0)</f>
        <v>0</v>
      </c>
      <c r="V193" s="192">
        <f>IF(D193=År1,P193,SUM(O193,P193))*IFERROR(VLOOKUP(A193,[1]Tørstofindhold!A$2:B$24,2,FALSE),0)</f>
        <v>337109.41129074246</v>
      </c>
      <c r="W193" s="192">
        <f>J193*IFERROR(VLOOKUP(A193,[1]Tørstofindhold!A$2:B$24,2,FALSE),0)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O194*IFERROR(VLOOKUP(A194,[1]Tørstofindhold!A$2:B$24,2,FALSE),0)</f>
        <v>0</v>
      </c>
      <c r="V194" s="192">
        <f>IF(D194=År1,P194,SUM(O194,P194))*IFERROR(VLOOKUP(A194,[1]Tørstofindhold!A$2:B$24,2,FALSE),0)</f>
        <v>0</v>
      </c>
      <c r="W194" s="192">
        <f>J194*IFERROR(VLOOKUP(A194,[1]Tørstofindhold!A$2:B$24,2,FALSE),0)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hidden="1" x14ac:dyDescent="0.25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14354.783550318367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-13854.556574310172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O195*IFERROR(VLOOKUP(A195,[1]Tørstofindhold!A$2:B$24,2,FALSE),0)</f>
        <v>0</v>
      </c>
      <c r="V195" s="192">
        <f>IF(D195=År1,P195,SUM(O195,P195))*IFERROR(VLOOKUP(A195,[1]Tørstofindhold!A$2:B$24,2,FALSE),0)</f>
        <v>0</v>
      </c>
      <c r="W195" s="192">
        <f>J195*IFERROR(VLOOKUP(A195,[1]Tørstofindhold!A$2:B$24,2,FALSE),0)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22219.132039015061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O196*IFERROR(VLOOKUP(A196,[1]Tørstofindhold!A$2:B$24,2,FALSE),0)</f>
        <v>0</v>
      </c>
      <c r="V196" s="192">
        <f>IF(D196=År1,P196,SUM(O196,P196))*IFERROR(VLOOKUP(A196,[1]Tørstofindhold!A$2:B$24,2,FALSE),0)</f>
        <v>0</v>
      </c>
      <c r="W196" s="192">
        <f>J196*IFERROR(VLOOKUP(A196,[1]Tørstofindhold!A$2:B$24,2,FALSE),0)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O197*IFERROR(VLOOKUP(A197,[1]Tørstofindhold!A$2:B$24,2,FALSE),0)</f>
        <v>0</v>
      </c>
      <c r="V197" s="192">
        <f ca="1">IF(D197=År1,P197,SUM(O197,P197))*IFERROR(VLOOKUP(A197,[1]Tørstofindhold!A$2:B$24,2,FALSE),0)</f>
        <v>47295.572483938791</v>
      </c>
      <c r="W197" s="192">
        <f ca="1">J197*IFERROR(VLOOKUP(A197,[1]Tørstofindhold!A$2:B$24,2,FALSE),0)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hidden="1" x14ac:dyDescent="0.25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103250703.76009664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103250703.76009664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103250703.76009664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O198*IFERROR(VLOOKUP(A198,[1]Tørstofindhold!A$2:B$24,2,FALSE),0)</f>
        <v>0</v>
      </c>
      <c r="V198" s="192">
        <f ca="1">IF(D198=År1,P198,SUM(O198,P198))*IFERROR(VLOOKUP(A198,[1]Tørstofindhold!A$2:B$24,2,FALSE),0)</f>
        <v>0</v>
      </c>
      <c r="W198" s="192">
        <f>J198*IFERROR(VLOOKUP(A198,[1]Tørstofindhold!A$2:B$24,2,FALSE),0)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3113194.8160989988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2648877.5690380111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464317.24706098763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O199*IFERROR(VLOOKUP(A199,[1]Tørstofindhold!A$2:B$24,2,FALSE),0)</f>
        <v>0</v>
      </c>
      <c r="V199" s="192">
        <f>IF(D199=År1,P199,SUM(O199,P199))*IFERROR(VLOOKUP(A199,[1]Tørstofindhold!A$2:B$24,2,FALSE),0)</f>
        <v>0</v>
      </c>
      <c r="W199" s="192">
        <f>J199*IFERROR(VLOOKUP(A199,[1]Tørstofindhold!A$2:B$24,2,FALSE),0)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hidden="1" x14ac:dyDescent="0.25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O200*IFERROR(VLOOKUP(A200,[1]Tørstofindhold!A$2:B$24,2,FALSE),0)</f>
        <v>0</v>
      </c>
      <c r="V200" s="192">
        <f>IF(D200=År1,P200,SUM(O200,P200))*IFERROR(VLOOKUP(A200,[1]Tørstofindhold!A$2:B$24,2,FALSE),0)</f>
        <v>0</v>
      </c>
      <c r="W200" s="192">
        <f>J200*IFERROR(VLOOKUP(A200,[1]Tørstofindhold!A$2:B$24,2,FALSE),0)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hidden="1" x14ac:dyDescent="0.25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286444.08767374518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89002.270098627952</v>
      </c>
      <c r="O201" s="195">
        <f t="shared" si="59"/>
        <v>89002.270098627952</v>
      </c>
      <c r="P201" s="205">
        <f t="shared" si="49"/>
        <v>143222.04383687259</v>
      </c>
      <c r="Q201" s="192">
        <f>IFERROR(VLOOKUP(A201,[1]Energiindhold!$A$2:$C$11,3,FALSE),IFERROR(VLOOKUP(A201,[1]Biogasudbytte!$A$2:$B$18,2,FALSE)*[1]Energiindhold!$C$10,0))*O201</f>
        <v>0.19171088979244461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92">
        <f>IFERROR(VLOOKUP(A201,[1]Biogasudbytte!$A$2:$B$18,2,FALSE)*[1]Energiindhold!$C$10,0)*J201*IFERROR(VLOOKUP(A201,Biogasanlæg!$F$3:$G$8,2,FALSE),1)</f>
        <v>0.30850028242462357</v>
      </c>
      <c r="T201" s="193">
        <f t="shared" si="50"/>
        <v>0.19171088979244455</v>
      </c>
      <c r="U201" s="191">
        <f>O201*IFERROR(VLOOKUP(A201,[1]Tørstofindhold!A$2:B$24,2,FALSE),0)</f>
        <v>26700.681029588384</v>
      </c>
      <c r="V201" s="192">
        <f>IF(D201=År1,P201,SUM(O201,P201))*IFERROR(VLOOKUP(A201,[1]Tørstofindhold!A$2:B$24,2,FALSE),0)</f>
        <v>69667.294180650162</v>
      </c>
      <c r="W201" s="192">
        <f>J201*IFERROR(VLOOKUP(A201,[1]Tørstofindhold!A$2:B$24,2,FALSE),0)</f>
        <v>42966.613151061778</v>
      </c>
      <c r="X201" s="193">
        <f t="shared" si="51"/>
        <v>26700.681029588384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O202*IFERROR(VLOOKUP(A202,[1]Tørstofindhold!A$2:B$24,2,FALSE),0)</f>
        <v>0</v>
      </c>
      <c r="V202" s="192">
        <f>IF(D202=År1,P202,SUM(O202,P202))*IFERROR(VLOOKUP(A202,[1]Tørstofindhold!A$2:B$24,2,FALSE),0)</f>
        <v>0</v>
      </c>
      <c r="W202" s="192">
        <f>J202*IFERROR(VLOOKUP(A202,[1]Tørstofindhold!A$2:B$24,2,FALSE),0)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hidden="1" x14ac:dyDescent="0.25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560.16154012228367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212.06115447486451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68.019615586277325</v>
      </c>
      <c r="O203" s="195">
        <f t="shared" si="59"/>
        <v>68.019615586277325</v>
      </c>
      <c r="P203" s="205">
        <f t="shared" si="49"/>
        <v>280.08077006114183</v>
      </c>
      <c r="Q203" s="192">
        <f>IFERROR(VLOOKUP(A203,[1]Energiindhold!$A$2:$C$11,3,FALSE),IFERROR(VLOOKUP(A203,[1]Biogasudbytte!$A$2:$B$18,2,FALSE)*[1]Energiindhold!$C$10,0))*O203</f>
        <v>3.1988945014070367E-5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1.6370813036612478E-4</v>
      </c>
      <c r="S203" s="192">
        <f>IFERROR(VLOOKUP(A203,[1]Biogasudbytte!$A$2:$B$18,2,FALSE)*[1]Energiindhold!$C$10,0)*J203*IFERROR(VLOOKUP(A203,Biogasanlæg!$F$3:$G$8,2,FALSE),1)</f>
        <v>1.317191853520544E-4</v>
      </c>
      <c r="T203" s="193">
        <f t="shared" si="50"/>
        <v>3.198894501407038E-5</v>
      </c>
      <c r="U203" s="191">
        <f>O203*IFERROR(VLOOKUP(A203,[1]Tørstofindhold!A$2:B$24,2,FALSE),0)</f>
        <v>4.2852357819354712</v>
      </c>
      <c r="V203" s="192">
        <f>IF(D203=År1,P203,SUM(O203,P203))*IFERROR(VLOOKUP(A203,[1]Tørstofindhold!A$2:B$24,2,FALSE),0)</f>
        <v>21.930324295787408</v>
      </c>
      <c r="W203" s="192">
        <f>J203*IFERROR(VLOOKUP(A203,[1]Tørstofindhold!A$2:B$24,2,FALSE),0)</f>
        <v>17.645088513851935</v>
      </c>
      <c r="X203" s="193">
        <f t="shared" si="51"/>
        <v>4.2852357819354729</v>
      </c>
      <c r="Y203" s="171">
        <f t="shared" si="60"/>
        <v>0</v>
      </c>
      <c r="Z203" s="103">
        <f t="shared" si="61"/>
        <v>1</v>
      </c>
    </row>
    <row r="204" spans="1:26" hidden="1" x14ac:dyDescent="0.25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12195.236527675561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-18364.881940672021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O204*IFERROR(VLOOKUP(A204,[1]Tørstofindhold!A$2:B$24,2,FALSE),0)</f>
        <v>0</v>
      </c>
      <c r="V204" s="192">
        <f>IF(D204=År1,P204,SUM(O204,P204))*IFERROR(VLOOKUP(A204,[1]Tørstofindhold!A$2:B$24,2,FALSE),0)</f>
        <v>0</v>
      </c>
      <c r="W204" s="192">
        <f>J204*IFERROR(VLOOKUP(A204,[1]Tørstofindhold!A$2:B$24,2,FALSE),0)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O205*IFERROR(VLOOKUP(A205,[1]Tørstofindhold!A$2:B$24,2,FALSE),0)</f>
        <v>0</v>
      </c>
      <c r="V205" s="192">
        <f>IF(D205=År1,P205,SUM(O205,P205))*IFERROR(VLOOKUP(A205,[1]Tørstofindhold!A$2:B$24,2,FALSE),0)</f>
        <v>0</v>
      </c>
      <c r="W205" s="192">
        <f>J205*IFERROR(VLOOKUP(A205,[1]Tørstofindhold!A$2:B$24,2,FALSE),0)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O206*IFERROR(VLOOKUP(A206,[1]Tørstofindhold!A$2:B$24,2,FALSE),0)</f>
        <v>0</v>
      </c>
      <c r="V206" s="192">
        <f>IF(D206=År1,P206,SUM(O206,P206))*IFERROR(VLOOKUP(A206,[1]Tørstofindhold!A$2:B$24,2,FALSE),0)</f>
        <v>0</v>
      </c>
      <c r="W206" s="192">
        <f>J206*IFERROR(VLOOKUP(A206,[1]Tørstofindhold!A$2:B$24,2,FALSE),0)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O207*IFERROR(VLOOKUP(A207,[1]Tørstofindhold!A$2:B$24,2,FALSE),0)</f>
        <v>0</v>
      </c>
      <c r="V207" s="192">
        <f>IF(D207=År1,P207,SUM(O207,P207))*IFERROR(VLOOKUP(A207,[1]Tørstofindhold!A$2:B$24,2,FALSE),0)</f>
        <v>25693.56</v>
      </c>
      <c r="W207" s="192">
        <f>J207*IFERROR(VLOOKUP(A207,[1]Tørstofindhold!A$2:B$24,2,FALSE),0)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979275.23027812573</v>
      </c>
      <c r="O208" s="195">
        <f t="shared" si="59"/>
        <v>979275.23027812573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1.8017440143079666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1.8017440143079666</v>
      </c>
      <c r="U208" s="191">
        <f>O208*IFERROR(VLOOKUP(A208,[1]Tørstofindhold!A$2:B$24,2,FALSE),0)</f>
        <v>274197.06447787525</v>
      </c>
      <c r="V208" s="192">
        <f>IF(D208=År1,P208,SUM(O208,P208))*IFERROR(VLOOKUP(A208,[1]Tørstofindhold!A$2:B$24,2,FALSE),0)</f>
        <v>277014.68780052924</v>
      </c>
      <c r="W208" s="192">
        <f>J208*IFERROR(VLOOKUP(A208,[1]Tørstofindhold!A$2:B$24,2,FALSE),0)</f>
        <v>2817.623322654033</v>
      </c>
      <c r="X208" s="193">
        <f t="shared" si="51"/>
        <v>274197.06447787519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O209*IFERROR(VLOOKUP(A209,[1]Tørstofindhold!A$2:B$24,2,FALSE),0)</f>
        <v>0</v>
      </c>
      <c r="V209" s="192">
        <f>IF(D209=År1,P209,SUM(O209,P209))*IFERROR(VLOOKUP(A209,[1]Tørstofindhold!A$2:B$24,2,FALSE),0)</f>
        <v>0</v>
      </c>
      <c r="W209" s="192">
        <f>J209*IFERROR(VLOOKUP(A209,[1]Tørstofindhold!A$2:B$24,2,FALSE),0)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O210*IFERROR(VLOOKUP(A210,[1]Tørstofindhold!A$2:B$24,2,FALSE),0)</f>
        <v>0</v>
      </c>
      <c r="V210" s="192">
        <f>IF(D210=År1,P210,SUM(O210,P210))*IFERROR(VLOOKUP(A210,[1]Tørstofindhold!A$2:B$24,2,FALSE),0)</f>
        <v>0</v>
      </c>
      <c r="W210" s="192">
        <f>J210*IFERROR(VLOOKUP(A210,[1]Tørstofindhold!A$2:B$24,2,FALSE),0)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hidden="1" x14ac:dyDescent="0.25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82816.687681498166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779026.74272400839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92">
        <f>IFERROR(VLOOKUP(A211,[1]Biogasudbytte!$A$2:$B$18,2,FALSE)*[1]Energiindhold!$C$10,0)*J211*IFERROR(VLOOKUP(A211,Biogasanlæg!$F$3:$G$8,2,FALSE),1)</f>
        <v>0.1285105408216142</v>
      </c>
      <c r="T211" s="193">
        <f t="shared" si="50"/>
        <v>7.8214904204347988</v>
      </c>
      <c r="U211" s="191">
        <f>O211*IFERROR(VLOOKUP(A211,[1]Tørstofindhold!A$2:B$24,2,FALSE),0)</f>
        <v>0</v>
      </c>
      <c r="V211" s="192">
        <f>IF(D211=År1,P211,SUM(O211,P211))*IFERROR(VLOOKUP(A211,[1]Tørstofindhold!A$2:B$24,2,FALSE),0)</f>
        <v>662172.73131540709</v>
      </c>
      <c r="W211" s="192">
        <f>J211*IFERROR(VLOOKUP(A211,[1]Tørstofindhold!A$2:B$24,2,FALSE),0)</f>
        <v>18946.006739762808</v>
      </c>
      <c r="X211" s="193">
        <f t="shared" si="51"/>
        <v>643226.72457564424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O212*IFERROR(VLOOKUP(A212,[1]Tørstofindhold!A$2:B$24,2,FALSE),0)</f>
        <v>0</v>
      </c>
      <c r="V212" s="192">
        <f>IF(D212=År1,P212,SUM(O212,P212))*IFERROR(VLOOKUP(A212,[1]Tørstofindhold!A$2:B$24,2,FALSE),0)</f>
        <v>136822.46703948267</v>
      </c>
      <c r="W212" s="192">
        <f>J212*IFERROR(VLOOKUP(A212,[1]Tørstofindhold!A$2:B$24,2,FALSE),0)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-474117.38114065683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O213*IFERROR(VLOOKUP(A213,[1]Tørstofindhold!A$2:B$24,2,FALSE),0)</f>
        <v>0</v>
      </c>
      <c r="V213" s="192">
        <f>IF(D213=År1,P213,SUM(O213,P213))*IFERROR(VLOOKUP(A213,[1]Tørstofindhold!A$2:B$24,2,FALSE),0)</f>
        <v>0</v>
      </c>
      <c r="W213" s="192">
        <f>J213*IFERROR(VLOOKUP(A213,[1]Tørstofindhold!A$2:B$24,2,FALSE),0)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hidden="1" x14ac:dyDescent="0.25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195278.17736560528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-22227.841189355648</v>
      </c>
      <c r="O214" s="195">
        <f t="shared" si="59"/>
        <v>0</v>
      </c>
      <c r="P214" s="205">
        <f t="shared" si="49"/>
        <v>217506.01855496093</v>
      </c>
      <c r="Q214" s="192">
        <f>IFERROR(VLOOKUP(A214,[1]Energiindhold!$A$2:$C$11,3,FALSE),IFERROR(VLOOKUP(A214,[1]Biogasudbytte!$A$2:$B$18,2,FALSE)*[1]Energiindhold!$C$10,0))*O214</f>
        <v>0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92">
        <f>IFERROR(VLOOKUP(A214,[1]Biogasudbytte!$A$2:$B$18,2,FALSE)*[1]Energiindhold!$C$10,0)*J214*IFERROR(VLOOKUP(A214,Biogasanlæg!$F$3:$G$8,2,FALSE),1)</f>
        <v>0.80110957605389932</v>
      </c>
      <c r="T214" s="193">
        <f t="shared" si="50"/>
        <v>0</v>
      </c>
      <c r="U214" s="191">
        <f>O214*IFERROR(VLOOKUP(A214,[1]Tørstofindhold!A$2:B$24,2,FALSE),0)</f>
        <v>0</v>
      </c>
      <c r="V214" s="192">
        <f>IF(D214=År1,P214,SUM(O214,P214))*IFERROR(VLOOKUP(A214,[1]Tørstofindhold!A$2:B$24,2,FALSE),0)</f>
        <v>91352.527793083587</v>
      </c>
      <c r="W214" s="192">
        <f>J214*IFERROR(VLOOKUP(A214,[1]Tørstofindhold!A$2:B$24,2,FALSE),0)</f>
        <v>91352.527793083587</v>
      </c>
      <c r="X214" s="193">
        <f t="shared" si="51"/>
        <v>0</v>
      </c>
      <c r="Y214" s="171">
        <f t="shared" si="60"/>
        <v>1</v>
      </c>
      <c r="Z214" s="103">
        <f t="shared" si="61"/>
        <v>0</v>
      </c>
    </row>
    <row r="215" spans="1:26" hidden="1" x14ac:dyDescent="0.25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O215*IFERROR(VLOOKUP(A215,[1]Tørstofindhold!A$2:B$24,2,FALSE),0)</f>
        <v>0</v>
      </c>
      <c r="V215" s="192">
        <f>IF(D215=År1,P215,SUM(O215,P215))*IFERROR(VLOOKUP(A215,[1]Tørstofindhold!A$2:B$24,2,FALSE),0)</f>
        <v>0</v>
      </c>
      <c r="W215" s="192">
        <f>J215*IFERROR(VLOOKUP(A215,[1]Tørstofindhold!A$2:B$24,2,FALSE),0)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O216*IFERROR(VLOOKUP(A216,[1]Tørstofindhold!A$2:B$24,2,FALSE),0)</f>
        <v>0</v>
      </c>
      <c r="V216" s="192">
        <f>IF(D216=År1,P216,SUM(O216,P216))*IFERROR(VLOOKUP(A216,[1]Tørstofindhold!A$2:B$24,2,FALSE),0)</f>
        <v>0</v>
      </c>
      <c r="W216" s="192">
        <f>J216*IFERROR(VLOOKUP(A216,[1]Tørstofindhold!A$2:B$24,2,FALSE),0)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1574682.9124116749</v>
      </c>
      <c r="O217" s="195">
        <f t="shared" si="59"/>
        <v>1574682.9124116749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5.3930685194022496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5.3930685194022496</v>
      </c>
      <c r="U217" s="191">
        <f>O217*IFERROR(VLOOKUP(A217,[1]Tørstofindhold!A$2:B$24,2,FALSE),0)</f>
        <v>488151.70284761919</v>
      </c>
      <c r="V217" s="192">
        <f>IF(D217=År1,P217,SUM(O217,P217))*IFERROR(VLOOKUP(A217,[1]Tørstofindhold!A$2:B$24,2,FALSE),0)</f>
        <v>488446.84350299038</v>
      </c>
      <c r="W217" s="192">
        <f>J217*IFERROR(VLOOKUP(A217,[1]Tørstofindhold!A$2:B$24,2,FALSE),0)</f>
        <v>295.14065537113913</v>
      </c>
      <c r="X217" s="193">
        <f t="shared" si="65"/>
        <v>488151.70284761925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398766.23112041334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-398766.23112041334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O218*IFERROR(VLOOKUP(A218,[1]Tørstofindhold!A$2:B$24,2,FALSE),0)</f>
        <v>0</v>
      </c>
      <c r="V218" s="192">
        <f>IF(D218=År1,P218,SUM(O218,P218))*IFERROR(VLOOKUP(A218,[1]Tørstofindhold!A$2:B$24,2,FALSE),0)</f>
        <v>0</v>
      </c>
      <c r="W218" s="192">
        <f>J218*IFERROR(VLOOKUP(A218,[1]Tørstofindhold!A$2:B$24,2,FALSE),0)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hidden="1" x14ac:dyDescent="0.25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738231.33813296724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117378.78276314179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59796.738388770376</v>
      </c>
      <c r="O219" s="195">
        <f t="shared" si="59"/>
        <v>59796.738388770376</v>
      </c>
      <c r="P219" s="205">
        <f t="shared" si="63"/>
        <v>561055.81698105508</v>
      </c>
      <c r="Q219" s="192">
        <f>IFERROR(VLOOKUP(A219,[1]Energiindhold!$A$2:$C$11,3,FALSE),IFERROR(VLOOKUP(A219,[1]Biogasudbytte!$A$2:$B$18,2,FALSE)*[1]Energiindhold!$C$10,0))*O219</f>
        <v>3.026851100501168E-2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0.31426935500265196</v>
      </c>
      <c r="S219" s="192">
        <f>IFERROR(VLOOKUP(A219,[1]Biogasudbytte!$A$2:$B$18,2,FALSE)*[1]Energiindhold!$C$10,0)*J219*IFERROR(VLOOKUP(A219,Biogasanlæg!$F$3:$G$8,2,FALSE),1)</f>
        <v>0.28400084399764031</v>
      </c>
      <c r="T219" s="193">
        <f t="shared" si="64"/>
        <v>3.0268511005011656E-2</v>
      </c>
      <c r="U219" s="191">
        <f>O219*IFERROR(VLOOKUP(A219,[1]Tørstofindhold!A$2:B$24,2,FALSE),0)</f>
        <v>4544.5521175465483</v>
      </c>
      <c r="V219" s="192">
        <f>IF(D219=År1,P219,SUM(O219,P219))*IFERROR(VLOOKUP(A219,[1]Tørstofindhold!A$2:B$24,2,FALSE),0)</f>
        <v>47184.79420810673</v>
      </c>
      <c r="W219" s="192">
        <f>J219*IFERROR(VLOOKUP(A219,[1]Tørstofindhold!A$2:B$24,2,FALSE),0)</f>
        <v>42640.242090560183</v>
      </c>
      <c r="X219" s="193">
        <f t="shared" si="65"/>
        <v>4544.5521175465474</v>
      </c>
      <c r="Y219" s="171">
        <f t="shared" si="60"/>
        <v>0</v>
      </c>
      <c r="Z219" s="103">
        <f t="shared" si="61"/>
        <v>1</v>
      </c>
    </row>
    <row r="220" spans="1:26" hidden="1" x14ac:dyDescent="0.25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92168.427114874314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-56663.967855439478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O220*IFERROR(VLOOKUP(A220,[1]Tørstofindhold!A$2:B$24,2,FALSE),0)</f>
        <v>0</v>
      </c>
      <c r="V220" s="192">
        <f>IF(D220=År1,P220,SUM(O220,P220))*IFERROR(VLOOKUP(A220,[1]Tørstofindhold!A$2:B$24,2,FALSE),0)</f>
        <v>0</v>
      </c>
      <c r="W220" s="192">
        <f>J220*IFERROR(VLOOKUP(A220,[1]Tørstofindhold!A$2:B$24,2,FALSE),0)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-181821.92523813841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O221*IFERROR(VLOOKUP(A221,[1]Tørstofindhold!A$2:B$24,2,FALSE),0)</f>
        <v>0</v>
      </c>
      <c r="V221" s="192">
        <f>IF(D221=År1,P221,SUM(O221,P221))*IFERROR(VLOOKUP(A221,[1]Tørstofindhold!A$2:B$24,2,FALSE),0)</f>
        <v>4600.1059489224999</v>
      </c>
      <c r="W221" s="192">
        <f>J221*IFERROR(VLOOKUP(A221,[1]Tørstofindhold!A$2:B$24,2,FALSE),0)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177837.22990030446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-231198.20190680941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O222*IFERROR(VLOOKUP(A222,[1]Tørstofindhold!A$2:B$24,2,FALSE),0)</f>
        <v>0</v>
      </c>
      <c r="V222" s="192">
        <f>IF(D222=År1,P222,SUM(O222,P222))*IFERROR(VLOOKUP(A222,[1]Tørstofindhold!A$2:B$24,2,FALSE),0)</f>
        <v>0</v>
      </c>
      <c r="W222" s="192">
        <f>J222*IFERROR(VLOOKUP(A222,[1]Tørstofindhold!A$2:B$24,2,FALSE),0)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O223*IFERROR(VLOOKUP(A223,[1]Tørstofindhold!A$2:B$24,2,FALSE),0)</f>
        <v>486.50027670673614</v>
      </c>
      <c r="V223" s="192">
        <f>IF(D223=År1,P223,SUM(O223,P223))*IFERROR(VLOOKUP(A223,[1]Tørstofindhold!A$2:B$24,2,FALSE),0)</f>
        <v>486.50027670673614</v>
      </c>
      <c r="W223" s="192">
        <f>J223*IFERROR(VLOOKUP(A223,[1]Tørstofindhold!A$2:B$24,2,FALSE),0)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6036.6362564051497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-45939.072923222928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O224*IFERROR(VLOOKUP(A224,[1]Tørstofindhold!A$2:B$24,2,FALSE),0)</f>
        <v>0</v>
      </c>
      <c r="V224" s="192">
        <f>IF(D224=År1,P224,SUM(O224,P224))*IFERROR(VLOOKUP(A224,[1]Tørstofindhold!A$2:B$24,2,FALSE),0)</f>
        <v>0</v>
      </c>
      <c r="W224" s="192">
        <f>J224*IFERROR(VLOOKUP(A224,[1]Tørstofindhold!A$2:B$24,2,FALSE),0)</f>
        <v>0</v>
      </c>
      <c r="X224" s="193">
        <f t="shared" si="65"/>
        <v>0</v>
      </c>
      <c r="Y224" s="171">
        <f t="shared" si="60"/>
        <v>1</v>
      </c>
      <c r="Z224" s="103">
        <f t="shared" si="61"/>
        <v>0</v>
      </c>
    </row>
    <row r="225" spans="1:26" hidden="1" x14ac:dyDescent="0.25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O225*IFERROR(VLOOKUP(A225,[1]Tørstofindhold!A$2:B$24,2,FALSE),0)</f>
        <v>0</v>
      </c>
      <c r="V225" s="192">
        <f>IF(D225=År1,P225,SUM(O225,P225))*IFERROR(VLOOKUP(A225,[1]Tørstofindhold!A$2:B$24,2,FALSE),0)</f>
        <v>0</v>
      </c>
      <c r="W225" s="192">
        <f>J225*IFERROR(VLOOKUP(A225,[1]Tørstofindhold!A$2:B$24,2,FALSE),0)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O226*IFERROR(VLOOKUP(A226,[1]Tørstofindhold!A$2:B$24,2,FALSE),0)</f>
        <v>0</v>
      </c>
      <c r="V226" s="192">
        <f>IF(D226=År1,P226,SUM(O226,P226))*IFERROR(VLOOKUP(A226,[1]Tørstofindhold!A$2:B$24,2,FALSE),0)</f>
        <v>16359.166056774371</v>
      </c>
      <c r="W226" s="192">
        <f>J226*IFERROR(VLOOKUP(A226,[1]Tørstofindhold!A$2:B$24,2,FALSE),0)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O227*IFERROR(VLOOKUP(A227,[1]Tørstofindhold!A$2:B$24,2,FALSE),0)</f>
        <v>0</v>
      </c>
      <c r="V227" s="192">
        <f>IF(D227=År1,P227,SUM(O227,P227))*IFERROR(VLOOKUP(A227,[1]Tørstofindhold!A$2:B$24,2,FALSE),0)</f>
        <v>0</v>
      </c>
      <c r="W227" s="192">
        <f>J227*IFERROR(VLOOKUP(A227,[1]Tørstofindhold!A$2:B$24,2,FALSE),0)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O228*IFERROR(VLOOKUP(A228,[1]Tørstofindhold!A$2:B$24,2,FALSE),0)</f>
        <v>0</v>
      </c>
      <c r="V228" s="192">
        <f>IF(D228=År1,P228,SUM(O228,P228))*IFERROR(VLOOKUP(A228,[1]Tørstofindhold!A$2:B$24,2,FALSE),0)</f>
        <v>0</v>
      </c>
      <c r="W228" s="192">
        <f>J228*IFERROR(VLOOKUP(A228,[1]Tørstofindhold!A$2:B$24,2,FALSE),0)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276928.87898992695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276928.87898992695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O229*IFERROR(VLOOKUP(A229,[1]Tørstofindhold!A$2:B$24,2,FALSE),0)</f>
        <v>0</v>
      </c>
      <c r="V229" s="192">
        <f>IF(D229=År1,P229,SUM(O229,P229))*IFERROR(VLOOKUP(A229,[1]Tørstofindhold!A$2:B$24,2,FALSE),0)</f>
        <v>0</v>
      </c>
      <c r="W229" s="192">
        <f>J229*IFERROR(VLOOKUP(A229,[1]Tørstofindhold!A$2:B$24,2,FALSE),0)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O230*IFERROR(VLOOKUP(A230,[1]Tørstofindhold!A$2:B$24,2,FALSE),0)</f>
        <v>0</v>
      </c>
      <c r="V230" s="192">
        <f>IF(D230=År1,P230,SUM(O230,P230))*IFERROR(VLOOKUP(A230,[1]Tørstofindhold!A$2:B$24,2,FALSE),0)</f>
        <v>0</v>
      </c>
      <c r="W230" s="192">
        <f>J230*IFERROR(VLOOKUP(A230,[1]Tørstofindhold!A$2:B$24,2,FALSE),0)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81180.880041585086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O231*IFERROR(VLOOKUP(A231,[1]Tørstofindhold!A$2:B$24,2,FALSE),0)</f>
        <v>0</v>
      </c>
      <c r="V231" s="192">
        <f>IF(D231=År1,P231,SUM(O231,P231))*IFERROR(VLOOKUP(A231,[1]Tørstofindhold!A$2:B$24,2,FALSE),0)</f>
        <v>0</v>
      </c>
      <c r="W231" s="192">
        <f>J231*IFERROR(VLOOKUP(A231,[1]Tørstofindhold!A$2:B$24,2,FALSE),0)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O232*IFERROR(VLOOKUP(A232,[1]Tørstofindhold!A$2:B$24,2,FALSE),0)</f>
        <v>0</v>
      </c>
      <c r="V232" s="192">
        <f>IF(D232=År1,P232,SUM(O232,P232))*IFERROR(VLOOKUP(A232,[1]Tørstofindhold!A$2:B$24,2,FALSE),0)</f>
        <v>0</v>
      </c>
      <c r="W232" s="192">
        <f>J232*IFERROR(VLOOKUP(A232,[1]Tørstofindhold!A$2:B$24,2,FALSE),0)</f>
        <v>0</v>
      </c>
      <c r="X232" s="193">
        <f t="shared" si="65"/>
        <v>0</v>
      </c>
      <c r="Y232" s="171">
        <f t="shared" si="60"/>
        <v>0</v>
      </c>
      <c r="Z232" s="103">
        <f t="shared" si="61"/>
        <v>0</v>
      </c>
    </row>
    <row r="233" spans="1:26" hidden="1" x14ac:dyDescent="0.25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2274572.6185528086</v>
      </c>
      <c r="O233" s="195">
        <f t="shared" si="59"/>
        <v>1992661.9607506471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5.4081642679556863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5.4081642679556863</v>
      </c>
      <c r="U233" s="191">
        <f>O233*IFERROR(VLOOKUP(A233,[1]Tørstofindhold!A$2:B$24,2,FALSE),0)</f>
        <v>398532.39215012942</v>
      </c>
      <c r="V233" s="192">
        <f>IF(D233=År1,P233,SUM(O233,P233))*IFERROR(VLOOKUP(A233,[1]Tørstofindhold!A$2:B$24,2,FALSE),0)</f>
        <v>403446.24799347471</v>
      </c>
      <c r="W233" s="192">
        <f>J233*IFERROR(VLOOKUP(A233,[1]Tørstofindhold!A$2:B$24,2,FALSE),0)</f>
        <v>4913.8558433452836</v>
      </c>
      <c r="X233" s="193">
        <f t="shared" si="65"/>
        <v>398532.39215012942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18028.658633856463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18028.658633856463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O234*IFERROR(VLOOKUP(A234,[1]Tørstofindhold!A$2:B$24,2,FALSE),0)</f>
        <v>0</v>
      </c>
      <c r="V234" s="192">
        <f>IF(D234=År1,P234,SUM(O234,P234))*IFERROR(VLOOKUP(A234,[1]Tørstofindhold!A$2:B$24,2,FALSE),0)</f>
        <v>0</v>
      </c>
      <c r="W234" s="192">
        <f>J234*IFERROR(VLOOKUP(A234,[1]Tørstofindhold!A$2:B$24,2,FALSE),0)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14632.341003448482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10761.995034953325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O235*IFERROR(VLOOKUP(A235,[1]Tørstofindhold!A$2:B$24,2,FALSE),0)</f>
        <v>0</v>
      </c>
      <c r="V235" s="192">
        <f>IF(D235=År1,P235,SUM(O235,P235))*IFERROR(VLOOKUP(A235,[1]Tørstofindhold!A$2:B$24,2,FALSE),0)</f>
        <v>0</v>
      </c>
      <c r="W235" s="192">
        <f>J235*IFERROR(VLOOKUP(A235,[1]Tørstofindhold!A$2:B$24,2,FALSE),0)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3342323.2852705466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2074751.0427045652</v>
      </c>
      <c r="O236" s="195">
        <f t="shared" si="59"/>
        <v>2074751.0427045652</v>
      </c>
      <c r="P236" s="205">
        <f t="shared" si="63"/>
        <v>1267572.2425659813</v>
      </c>
      <c r="Q236" s="192">
        <f>IFERROR(VLOOKUP(A236,[1]Energiindhold!$A$2:$C$11,3,FALSE),IFERROR(VLOOKUP(A236,[1]Biogasudbytte!$A$2:$B$18,2,FALSE)*[1]Energiindhold!$C$10,0))*O236</f>
        <v>1.0353215178200053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92">
        <f>IFERROR(VLOOKUP(A236,[1]Biogasudbytte!$A$2:$B$18,2,FALSE)*[1]Energiindhold!$C$10,0)*J236*IFERROR(VLOOKUP(A236,Biogasanlæg!$F$3:$G$8,2,FALSE),1)</f>
        <v>0.6325312247628504</v>
      </c>
      <c r="T236" s="193">
        <f t="shared" si="64"/>
        <v>1.0353215178200053</v>
      </c>
      <c r="U236" s="191">
        <f>O236*IFERROR(VLOOKUP(A236,[1]Tørstofindhold!A$2:B$24,2,FALSE),0)</f>
        <v>124485.0625622739</v>
      </c>
      <c r="V236" s="192">
        <f>IF(D236=År1,P236,SUM(O236,P236))*IFERROR(VLOOKUP(A236,[1]Tørstofindhold!A$2:B$24,2,FALSE),0)</f>
        <v>200539.39711623278</v>
      </c>
      <c r="W236" s="192">
        <f>J236*IFERROR(VLOOKUP(A236,[1]Tørstofindhold!A$2:B$24,2,FALSE),0)</f>
        <v>76054.334553958877</v>
      </c>
      <c r="X236" s="193">
        <f t="shared" si="65"/>
        <v>124485.0625622739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1747439.8704342765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926143.13133016659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92">
        <f>IFERROR(VLOOKUP(A237,[1]Biogasudbytte!$A$2:$B$18,2,FALSE)*[1]Energiindhold!$C$10,0)*J237*IFERROR(VLOOKUP(A237,Biogasanlæg!$F$3:$G$8,2,FALSE),1)</f>
        <v>0.39898246097703582</v>
      </c>
      <c r="T237" s="193">
        <f t="shared" si="64"/>
        <v>0</v>
      </c>
      <c r="U237" s="191">
        <f>O237*IFERROR(VLOOKUP(A237,[1]Tørstofindhold!A$2:B$24,2,FALSE),0)</f>
        <v>0</v>
      </c>
      <c r="V237" s="192">
        <f>IF(D237=År1,P237,SUM(O237,P237))*IFERROR(VLOOKUP(A237,[1]Tørstofindhold!A$2:B$24,2,FALSE),0)</f>
        <v>46307.156566508333</v>
      </c>
      <c r="W237" s="192">
        <f>J237*IFERROR(VLOOKUP(A237,[1]Tørstofindhold!A$2:B$24,2,FALSE),0)</f>
        <v>46307.156566508333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159736.08962264023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54209.6497730923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O238*IFERROR(VLOOKUP(A238,[1]Tørstofindhold!A$2:B$24,2,FALSE),0)</f>
        <v>0</v>
      </c>
      <c r="V238" s="192">
        <f>IF(D238=År1,P238,SUM(O238,P238))*IFERROR(VLOOKUP(A238,[1]Tørstofindhold!A$2:B$24,2,FALSE),0)</f>
        <v>0</v>
      </c>
      <c r="W238" s="192">
        <f>J238*IFERROR(VLOOKUP(A238,[1]Tørstofindhold!A$2:B$24,2,FALSE),0)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O239*IFERROR(VLOOKUP(A239,[1]Tørstofindhold!A$2:B$24,2,FALSE),0)</f>
        <v>540</v>
      </c>
      <c r="V239" s="192">
        <f>IF(D239=År1,P239,SUM(O239,P239))*IFERROR(VLOOKUP(A239,[1]Tørstofindhold!A$2:B$24,2,FALSE),0)</f>
        <v>540</v>
      </c>
      <c r="W239" s="192">
        <f>J239*IFERROR(VLOOKUP(A239,[1]Tørstofindhold!A$2:B$24,2,FALSE),0)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O240*IFERROR(VLOOKUP(A240,[1]Tørstofindhold!A$2:B$24,2,FALSE),0)</f>
        <v>0</v>
      </c>
      <c r="V240" s="192">
        <f>IF(D240=År1,P240,SUM(O240,P240))*IFERROR(VLOOKUP(A240,[1]Tørstofindhold!A$2:B$24,2,FALSE),0)</f>
        <v>0</v>
      </c>
      <c r="W240" s="192">
        <f>J240*IFERROR(VLOOKUP(A240,[1]Tørstofindhold!A$2:B$24,2,FALSE),0)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O241*IFERROR(VLOOKUP(A241,[1]Tørstofindhold!A$2:B$24,2,FALSE),0)</f>
        <v>0</v>
      </c>
      <c r="V241" s="192">
        <f>IF(D241=År1,P241,SUM(O241,P241))*IFERROR(VLOOKUP(A241,[1]Tørstofindhold!A$2:B$24,2,FALSE),0)</f>
        <v>319025.0352732077</v>
      </c>
      <c r="W241" s="192">
        <f>J241*IFERROR(VLOOKUP(A241,[1]Tørstofindhold!A$2:B$24,2,FALSE),0)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O242*IFERROR(VLOOKUP(A242,[1]Tørstofindhold!A$2:B$24,2,FALSE),0)</f>
        <v>0</v>
      </c>
      <c r="V242" s="192">
        <f>IF(D242=År1,P242,SUM(O242,P242))*IFERROR(VLOOKUP(A242,[1]Tørstofindhold!A$2:B$24,2,FALSE),0)</f>
        <v>0</v>
      </c>
      <c r="W242" s="192">
        <f>J242*IFERROR(VLOOKUP(A242,[1]Tørstofindhold!A$2:B$24,2,FALSE),0)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hidden="1" x14ac:dyDescent="0.25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13980.879672720754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-15551.122347381201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O243*IFERROR(VLOOKUP(A243,[1]Tørstofindhold!A$2:B$24,2,FALSE),0)</f>
        <v>0</v>
      </c>
      <c r="V243" s="192">
        <f>IF(D243=År1,P243,SUM(O243,P243))*IFERROR(VLOOKUP(A243,[1]Tørstofindhold!A$2:B$24,2,FALSE),0)</f>
        <v>0</v>
      </c>
      <c r="W243" s="192">
        <f>J243*IFERROR(VLOOKUP(A243,[1]Tørstofindhold!A$2:B$24,2,FALSE),0)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21513.506854886218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O244*IFERROR(VLOOKUP(A244,[1]Tørstofindhold!A$2:B$24,2,FALSE),0)</f>
        <v>0</v>
      </c>
      <c r="V244" s="192">
        <f>IF(D244=År1,P244,SUM(O244,P244))*IFERROR(VLOOKUP(A244,[1]Tørstofindhold!A$2:B$24,2,FALSE),0)</f>
        <v>0</v>
      </c>
      <c r="W244" s="192">
        <f>J244*IFERROR(VLOOKUP(A244,[1]Tørstofindhold!A$2:B$24,2,FALSE),0)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O245*IFERROR(VLOOKUP(A245,[1]Tørstofindhold!A$2:B$24,2,FALSE),0)</f>
        <v>0</v>
      </c>
      <c r="V245" s="192">
        <f ca="1">IF(D245=År1,P245,SUM(O245,P245))*IFERROR(VLOOKUP(A245,[1]Tørstofindhold!A$2:B$24,2,FALSE),0)</f>
        <v>48241.974607965349</v>
      </c>
      <c r="W245" s="192">
        <f ca="1">J245*IFERROR(VLOOKUP(A245,[1]Tørstofindhold!A$2:B$24,2,FALSE),0)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hidden="1" x14ac:dyDescent="0.25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104340897.10458454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104340897.10458454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104340897.10458454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O246*IFERROR(VLOOKUP(A246,[1]Tørstofindhold!A$2:B$24,2,FALSE),0)</f>
        <v>0</v>
      </c>
      <c r="V246" s="192">
        <f ca="1">IF(D246=År1,P246,SUM(O246,P246))*IFERROR(VLOOKUP(A246,[1]Tørstofindhold!A$2:B$24,2,FALSE),0)</f>
        <v>0</v>
      </c>
      <c r="W246" s="192">
        <f>J246*IFERROR(VLOOKUP(A246,[1]Tørstofindhold!A$2:B$24,2,FALSE),0)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3132565.3017730014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2636262.8953785724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496302.40639442904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O247*IFERROR(VLOOKUP(A247,[1]Tørstofindhold!A$2:B$24,2,FALSE),0)</f>
        <v>0</v>
      </c>
      <c r="V247" s="192">
        <f>IF(D247=År1,P247,SUM(O247,P247))*IFERROR(VLOOKUP(A247,[1]Tørstofindhold!A$2:B$24,2,FALSE),0)</f>
        <v>0</v>
      </c>
      <c r="W247" s="192">
        <f>J247*IFERROR(VLOOKUP(A247,[1]Tørstofindhold!A$2:B$24,2,FALSE),0)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hidden="1" x14ac:dyDescent="0.25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O248*IFERROR(VLOOKUP(A248,[1]Tørstofindhold!A$2:B$24,2,FALSE),0)</f>
        <v>0</v>
      </c>
      <c r="V248" s="192">
        <f>IF(D248=År1,P248,SUM(O248,P248))*IFERROR(VLOOKUP(A248,[1]Tørstofindhold!A$2:B$24,2,FALSE),0)</f>
        <v>0</v>
      </c>
      <c r="W248" s="192">
        <f>J248*IFERROR(VLOOKUP(A248,[1]Tørstofindhold!A$2:B$24,2,FALSE),0)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hidden="1" x14ac:dyDescent="0.25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301646.48561279988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93725.872315405693</v>
      </c>
      <c r="O249" s="195">
        <f t="shared" si="59"/>
        <v>93725.872315405693</v>
      </c>
      <c r="P249" s="205">
        <f t="shared" si="63"/>
        <v>150823.24280639994</v>
      </c>
      <c r="Q249" s="192">
        <f>IFERROR(VLOOKUP(A249,[1]Energiindhold!$A$2:$C$11,3,FALSE),IFERROR(VLOOKUP(A249,[1]Biogasudbytte!$A$2:$B$18,2,FALSE)*[1]Energiindhold!$C$10,0))*O249</f>
        <v>0.20188552896738388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2">
        <f>IFERROR(VLOOKUP(A249,[1]Biogasudbytte!$A$2:$B$18,2,FALSE)*[1]Energiindhold!$C$10,0)*J249*IFERROR(VLOOKUP(A249,Biogasanlæg!$F$3:$G$8,2,FALSE),1)</f>
        <v>0.32487326500498548</v>
      </c>
      <c r="T249" s="193">
        <f t="shared" si="64"/>
        <v>0.20188552896738388</v>
      </c>
      <c r="U249" s="191">
        <f>O249*IFERROR(VLOOKUP(A249,[1]Tørstofindhold!A$2:B$24,2,FALSE),0)</f>
        <v>28117.761694621706</v>
      </c>
      <c r="V249" s="192">
        <f>IF(D249=År1,P249,SUM(O249,P249))*IFERROR(VLOOKUP(A249,[1]Tørstofindhold!A$2:B$24,2,FALSE),0)</f>
        <v>73364.734536541684</v>
      </c>
      <c r="W249" s="192">
        <f>J249*IFERROR(VLOOKUP(A249,[1]Tørstofindhold!A$2:B$24,2,FALSE),0)</f>
        <v>45246.972841919982</v>
      </c>
      <c r="X249" s="193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O250*IFERROR(VLOOKUP(A250,[1]Tørstofindhold!A$2:B$24,2,FALSE),0)</f>
        <v>0</v>
      </c>
      <c r="V250" s="192">
        <f>IF(D250=År1,P250,SUM(O250,P250))*IFERROR(VLOOKUP(A250,[1]Tørstofindhold!A$2:B$24,2,FALSE),0)</f>
        <v>0</v>
      </c>
      <c r="W250" s="192">
        <f>J250*IFERROR(VLOOKUP(A250,[1]Tørstofindhold!A$2:B$24,2,FALSE),0)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hidden="1" x14ac:dyDescent="0.25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578.47871789484248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218.99551463161893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70.243844315802335</v>
      </c>
      <c r="O251" s="195">
        <f t="shared" si="59"/>
        <v>70.243844315802335</v>
      </c>
      <c r="P251" s="205">
        <f t="shared" si="63"/>
        <v>289.23935894742124</v>
      </c>
      <c r="Q251" s="192">
        <f>IFERROR(VLOOKUP(A251,[1]Energiindhold!$A$2:$C$11,3,FALSE),IFERROR(VLOOKUP(A251,[1]Biogasudbytte!$A$2:$B$18,2,FALSE)*[1]Energiindhold!$C$10,0))*O251</f>
        <v>3.3034977543278681E-5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1.690613556626614E-4</v>
      </c>
      <c r="S251" s="192">
        <f>IFERROR(VLOOKUP(A251,[1]Biogasudbytte!$A$2:$B$18,2,FALSE)*[1]Energiindhold!$C$10,0)*J251*IFERROR(VLOOKUP(A251,Biogasanlæg!$F$3:$G$8,2,FALSE),1)</f>
        <v>1.3602637811938273E-4</v>
      </c>
      <c r="T251" s="193">
        <f t="shared" si="64"/>
        <v>3.3034977543278674E-5</v>
      </c>
      <c r="U251" s="191">
        <f>O251*IFERROR(VLOOKUP(A251,[1]Tørstofindhold!A$2:B$24,2,FALSE),0)</f>
        <v>4.4253621918955472</v>
      </c>
      <c r="V251" s="192">
        <f>IF(D251=År1,P251,SUM(O251,P251))*IFERROR(VLOOKUP(A251,[1]Tørstofindhold!A$2:B$24,2,FALSE),0)</f>
        <v>22.647441805583085</v>
      </c>
      <c r="W251" s="192">
        <f>J251*IFERROR(VLOOKUP(A251,[1]Tørstofindhold!A$2:B$24,2,FALSE),0)</f>
        <v>18.222079613687537</v>
      </c>
      <c r="X251" s="193">
        <f t="shared" si="65"/>
        <v>4.4253621918955481</v>
      </c>
      <c r="Y251" s="171">
        <f t="shared" si="60"/>
        <v>0</v>
      </c>
      <c r="Z251" s="103">
        <f t="shared" si="61"/>
        <v>1</v>
      </c>
    </row>
    <row r="252" spans="1:26" hidden="1" x14ac:dyDescent="0.25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11660.091914249606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-20332.910274194179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O252*IFERROR(VLOOKUP(A252,[1]Tørstofindhold!A$2:B$24,2,FALSE),0)</f>
        <v>0</v>
      </c>
      <c r="V252" s="192">
        <f>IF(D252=År1,P252,SUM(O252,P252))*IFERROR(VLOOKUP(A252,[1]Tørstofindhold!A$2:B$24,2,FALSE),0)</f>
        <v>0</v>
      </c>
      <c r="W252" s="192">
        <f>J252*IFERROR(VLOOKUP(A252,[1]Tørstofindhold!A$2:B$24,2,FALSE),0)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O253*IFERROR(VLOOKUP(A253,[1]Tørstofindhold!A$2:B$24,2,FALSE),0)</f>
        <v>0</v>
      </c>
      <c r="V253" s="192">
        <f>IF(D253=År1,P253,SUM(O253,P253))*IFERROR(VLOOKUP(A253,[1]Tørstofindhold!A$2:B$24,2,FALSE),0)</f>
        <v>0</v>
      </c>
      <c r="W253" s="192">
        <f>J253*IFERROR(VLOOKUP(A253,[1]Tørstofindhold!A$2:B$24,2,FALSE),0)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O254*IFERROR(VLOOKUP(A254,[1]Tørstofindhold!A$2:B$24,2,FALSE),0)</f>
        <v>0</v>
      </c>
      <c r="V254" s="192">
        <f>IF(D254=År1,P254,SUM(O254,P254))*IFERROR(VLOOKUP(A254,[1]Tørstofindhold!A$2:B$24,2,FALSE),0)</f>
        <v>0</v>
      </c>
      <c r="W254" s="192">
        <f>J254*IFERROR(VLOOKUP(A254,[1]Tørstofindhold!A$2:B$24,2,FALSE),0)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O255*IFERROR(VLOOKUP(A255,[1]Tørstofindhold!A$2:B$24,2,FALSE),0)</f>
        <v>0</v>
      </c>
      <c r="V255" s="192">
        <f>IF(D255=År1,P255,SUM(O255,P255))*IFERROR(VLOOKUP(A255,[1]Tørstofindhold!A$2:B$24,2,FALSE),0)</f>
        <v>25693.56</v>
      </c>
      <c r="W255" s="192">
        <f>J255*IFERROR(VLOOKUP(A255,[1]Tørstofindhold!A$2:B$24,2,FALSE),0)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951845.8779844488</v>
      </c>
      <c r="O256" s="195">
        <f t="shared" si="59"/>
        <v>951845.8779844488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1.7512774347566378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1.7699520672448303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1.7512774347566378</v>
      </c>
      <c r="U256" s="191">
        <f>O256*IFERROR(VLOOKUP(A256,[1]Tørstofindhold!A$2:B$24,2,FALSE),0)</f>
        <v>266516.84583564568</v>
      </c>
      <c r="V256" s="192">
        <f>IF(D256=År1,P256,SUM(O256,P256))*IFERROR(VLOOKUP(A256,[1]Tørstofindhold!A$2:B$24,2,FALSE),0)</f>
        <v>269358.83080565394</v>
      </c>
      <c r="W256" s="192">
        <f>J256*IFERROR(VLOOKUP(A256,[1]Tørstofindhold!A$2:B$24,2,FALSE),0)</f>
        <v>2841.9849700082286</v>
      </c>
      <c r="X256" s="193">
        <f t="shared" si="65"/>
        <v>266516.84583564568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O257*IFERROR(VLOOKUP(A257,[1]Tørstofindhold!A$2:B$24,2,FALSE),0)</f>
        <v>0</v>
      </c>
      <c r="V257" s="192">
        <f>IF(D257=År1,P257,SUM(O257,P257))*IFERROR(VLOOKUP(A257,[1]Tørstofindhold!A$2:B$24,2,FALSE),0)</f>
        <v>0</v>
      </c>
      <c r="W257" s="192">
        <f>J257*IFERROR(VLOOKUP(A257,[1]Tørstofindhold!A$2:B$24,2,FALSE),0)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O258*IFERROR(VLOOKUP(A258,[1]Tørstofindhold!A$2:B$24,2,FALSE),0)</f>
        <v>0</v>
      </c>
      <c r="V258" s="192">
        <f>IF(D258=År1,P258,SUM(O258,P258))*IFERROR(VLOOKUP(A258,[1]Tørstofindhold!A$2:B$24,2,FALSE),0)</f>
        <v>0</v>
      </c>
      <c r="W258" s="192">
        <f>J258*IFERROR(VLOOKUP(A258,[1]Tørstofindhold!A$2:B$24,2,FALSE),0)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hidden="1" x14ac:dyDescent="0.25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82449.939525946174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759360.76964520989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92">
        <f>IFERROR(VLOOKUP(A259,[1]Biogasudbytte!$A$2:$B$18,2,FALSE)*[1]Energiindhold!$C$10,0)*J259*IFERROR(VLOOKUP(A259,Biogasanlæg!$F$3:$G$8,2,FALSE),1)</f>
        <v>0.13012964857483225</v>
      </c>
      <c r="T259" s="193">
        <f t="shared" si="64"/>
        <v>7.6153241784375005</v>
      </c>
      <c r="U259" s="191">
        <f>O259*IFERROR(VLOOKUP(A259,[1]Tørstofindhold!A$2:B$24,2,FALSE),0)</f>
        <v>0</v>
      </c>
      <c r="V259" s="192">
        <f>IF(D259=År1,P259,SUM(O259,P259))*IFERROR(VLOOKUP(A259,[1]Tørstofindhold!A$2:B$24,2,FALSE),0)</f>
        <v>645456.65419842838</v>
      </c>
      <c r="W259" s="192">
        <f>J259*IFERROR(VLOOKUP(A259,[1]Tørstofindhold!A$2:B$24,2,FALSE),0)</f>
        <v>19184.707987214973</v>
      </c>
      <c r="X259" s="193">
        <f t="shared" si="65"/>
        <v>626271.94621121336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O260*IFERROR(VLOOKUP(A260,[1]Tørstofindhold!A$2:B$24,2,FALSE),0)</f>
        <v>0</v>
      </c>
      <c r="V260" s="192">
        <f>IF(D260=År1,P260,SUM(O260,P260))*IFERROR(VLOOKUP(A260,[1]Tørstofindhold!A$2:B$24,2,FALSE),0)</f>
        <v>137378.10748818054</v>
      </c>
      <c r="W260" s="192">
        <f>J260*IFERROR(VLOOKUP(A260,[1]Tørstofindhold!A$2:B$24,2,FALSE),0)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-474117.381140657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O261*IFERROR(VLOOKUP(A261,[1]Tørstofindhold!A$2:B$24,2,FALSE),0)</f>
        <v>0</v>
      </c>
      <c r="V261" s="192">
        <f>IF(D261=År1,P261,SUM(O261,P261))*IFERROR(VLOOKUP(A261,[1]Tørstofindhold!A$2:B$24,2,FALSE),0)</f>
        <v>0</v>
      </c>
      <c r="W261" s="192">
        <f>J261*IFERROR(VLOOKUP(A261,[1]Tørstofindhold!A$2:B$24,2,FALSE),0)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hidden="1" x14ac:dyDescent="0.25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195751.05229011617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-22185.398483962403</v>
      </c>
      <c r="O262" s="195">
        <f t="shared" si="75"/>
        <v>0</v>
      </c>
      <c r="P262" s="205">
        <f t="shared" si="63"/>
        <v>217936.45077407858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2">
        <f>IFERROR(VLOOKUP(A262,[1]Biogasudbytte!$A$2:$B$18,2,FALSE)*[1]Energiindhold!$C$10,0)*J262*IFERROR(VLOOKUP(A262,Biogasanlæg!$F$3:$G$8,2,FALSE),1)</f>
        <v>0.80269492700128076</v>
      </c>
      <c r="T262" s="193">
        <f t="shared" si="64"/>
        <v>0</v>
      </c>
      <c r="U262" s="191">
        <f>O262*IFERROR(VLOOKUP(A262,[1]Tørstofindhold!A$2:B$24,2,FALSE),0)</f>
        <v>0</v>
      </c>
      <c r="V262" s="192">
        <f>IF(D262=År1,P262,SUM(O262,P262))*IFERROR(VLOOKUP(A262,[1]Tørstofindhold!A$2:B$24,2,FALSE),0)</f>
        <v>91533.309325113005</v>
      </c>
      <c r="W262" s="192">
        <f>J262*IFERROR(VLOOKUP(A262,[1]Tørstofindhold!A$2:B$24,2,FALSE),0)</f>
        <v>91533.309325113005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hidden="1" x14ac:dyDescent="0.25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O263*IFERROR(VLOOKUP(A263,[1]Tørstofindhold!A$2:B$24,2,FALSE),0)</f>
        <v>0</v>
      </c>
      <c r="V263" s="192">
        <f>IF(D263=År1,P263,SUM(O263,P263))*IFERROR(VLOOKUP(A263,[1]Tørstofindhold!A$2:B$24,2,FALSE),0)</f>
        <v>0</v>
      </c>
      <c r="W263" s="192">
        <f>J263*IFERROR(VLOOKUP(A263,[1]Tørstofindhold!A$2:B$24,2,FALSE),0)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O264*IFERROR(VLOOKUP(A264,[1]Tørstofindhold!A$2:B$24,2,FALSE),0)</f>
        <v>0</v>
      </c>
      <c r="V264" s="192">
        <f>IF(D264=År1,P264,SUM(O264,P264))*IFERROR(VLOOKUP(A264,[1]Tørstofindhold!A$2:B$24,2,FALSE),0)</f>
        <v>0</v>
      </c>
      <c r="W264" s="192">
        <f>J264*IFERROR(VLOOKUP(A264,[1]Tørstofindhold!A$2:B$24,2,FALSE),0)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1513732.8400958194</v>
      </c>
      <c r="O265" s="195">
        <f t="shared" si="75"/>
        <v>1513732.8400958194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5.1843230547305694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5.1876117559220756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5.1843230547305694</v>
      </c>
      <c r="U265" s="191">
        <f>O265*IFERROR(VLOOKUP(A265,[1]Tørstofindhold!A$2:B$24,2,FALSE),0)</f>
        <v>469257.18042970402</v>
      </c>
      <c r="V265" s="192">
        <f>IF(D265=År1,P265,SUM(O265,P265))*IFERROR(VLOOKUP(A265,[1]Tørstofindhold!A$2:B$24,2,FALSE),0)</f>
        <v>469554.85606297577</v>
      </c>
      <c r="W265" s="192">
        <f>J265*IFERROR(VLOOKUP(A265,[1]Tørstofindhold!A$2:B$24,2,FALSE),0)</f>
        <v>297.67563327171547</v>
      </c>
      <c r="X265" s="193">
        <f t="shared" si="65"/>
        <v>469257.18042970408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388599.4488834205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-388599.4488834205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O266*IFERROR(VLOOKUP(A266,[1]Tørstofindhold!A$2:B$24,2,FALSE),0)</f>
        <v>0</v>
      </c>
      <c r="V266" s="192">
        <f>IF(D266=År1,P266,SUM(O266,P266))*IFERROR(VLOOKUP(A266,[1]Tørstofindhold!A$2:B$24,2,FALSE),0)</f>
        <v>0</v>
      </c>
      <c r="W266" s="192">
        <f>J266*IFERROR(VLOOKUP(A266,[1]Tørstofindhold!A$2:B$24,2,FALSE),0)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hidden="1" x14ac:dyDescent="0.25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724125.12538599269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115135.89493637283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58654.135156265344</v>
      </c>
      <c r="O267" s="195">
        <f t="shared" si="75"/>
        <v>58654.135156265344</v>
      </c>
      <c r="P267" s="205">
        <f t="shared" si="63"/>
        <v>550335.09529335448</v>
      </c>
      <c r="Q267" s="192">
        <f>IFERROR(VLOOKUP(A267,[1]Energiindhold!$A$2:$C$11,3,FALSE),IFERROR(VLOOKUP(A267,[1]Biogasudbytte!$A$2:$B$18,2,FALSE)*[1]Energiindhold!$C$10,0))*O267</f>
        <v>2.9690136674749956E-2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0.30826425856129308</v>
      </c>
      <c r="S267" s="192">
        <f>IFERROR(VLOOKUP(A267,[1]Biogasudbytte!$A$2:$B$18,2,FALSE)*[1]Energiindhold!$C$10,0)*J267*IFERROR(VLOOKUP(A267,Biogasanlæg!$F$3:$G$8,2,FALSE),1)</f>
        <v>0.27857412188654312</v>
      </c>
      <c r="T267" s="193">
        <f t="shared" si="64"/>
        <v>2.9690136674749956E-2</v>
      </c>
      <c r="U267" s="191">
        <f>O267*IFERROR(VLOOKUP(A267,[1]Tørstofindhold!A$2:B$24,2,FALSE),0)</f>
        <v>4457.7142718761661</v>
      </c>
      <c r="V267" s="192">
        <f>IF(D267=År1,P267,SUM(O267,P267))*IFERROR(VLOOKUP(A267,[1]Tørstofindhold!A$2:B$24,2,FALSE),0)</f>
        <v>46283.181514171105</v>
      </c>
      <c r="W267" s="192">
        <f>J267*IFERROR(VLOOKUP(A267,[1]Tørstofindhold!A$2:B$24,2,FALSE),0)</f>
        <v>41825.467242294937</v>
      </c>
      <c r="X267" s="193">
        <f t="shared" si="65"/>
        <v>4457.7142718761679</v>
      </c>
      <c r="Y267" s="171">
        <f t="shared" si="76"/>
        <v>0</v>
      </c>
      <c r="Z267" s="103">
        <f t="shared" si="77"/>
        <v>1</v>
      </c>
    </row>
    <row r="268" spans="1:26" hidden="1" x14ac:dyDescent="0.25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90456.37389070644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-58376.021079607381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O268*IFERROR(VLOOKUP(A268,[1]Tørstofindhold!A$2:B$24,2,FALSE),0)</f>
        <v>0</v>
      </c>
      <c r="V268" s="192">
        <f>IF(D268=År1,P268,SUM(O268,P268))*IFERROR(VLOOKUP(A268,[1]Tørstofindhold!A$2:B$24,2,FALSE),0)</f>
        <v>0</v>
      </c>
      <c r="W268" s="192">
        <f>J268*IFERROR(VLOOKUP(A268,[1]Tørstofindhold!A$2:B$24,2,FALSE),0)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-187235.61050078244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O269*IFERROR(VLOOKUP(A269,[1]Tørstofindhold!A$2:B$24,2,FALSE),0)</f>
        <v>0</v>
      </c>
      <c r="V269" s="192">
        <f>IF(D269=År1,P269,SUM(O269,P269))*IFERROR(VLOOKUP(A269,[1]Tørstofindhold!A$2:B$24,2,FALSE),0)</f>
        <v>4650.2626261592668</v>
      </c>
      <c r="W269" s="192">
        <f>J269*IFERROR(VLOOKUP(A269,[1]Tørstofindhold!A$2:B$24,2,FALSE),0)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174533.85571503793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-253680.1735764404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O270*IFERROR(VLOOKUP(A270,[1]Tørstofindhold!A$2:B$24,2,FALSE),0)</f>
        <v>0</v>
      </c>
      <c r="V270" s="192">
        <f>IF(D270=År1,P270,SUM(O270,P270))*IFERROR(VLOOKUP(A270,[1]Tørstofindhold!A$2:B$24,2,FALSE),0)</f>
        <v>0</v>
      </c>
      <c r="W270" s="192">
        <f>J270*IFERROR(VLOOKUP(A270,[1]Tørstofindhold!A$2:B$24,2,FALSE),0)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O271*IFERROR(VLOOKUP(A271,[1]Tørstofindhold!A$2:B$24,2,FALSE),0)</f>
        <v>7297.504150601043</v>
      </c>
      <c r="V271" s="192">
        <f>IF(D271=År1,P271,SUM(O271,P271))*IFERROR(VLOOKUP(A271,[1]Tørstofindhold!A$2:B$24,2,FALSE),0)</f>
        <v>7297.504150601043</v>
      </c>
      <c r="W271" s="192">
        <f>J271*IFERROR(VLOOKUP(A271,[1]Tørstofindhold!A$2:B$24,2,FALSE),0)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5844.4508372651044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-48568.262884772746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O272*IFERROR(VLOOKUP(A272,[1]Tørstofindhold!A$2:B$24,2,FALSE),0)</f>
        <v>0</v>
      </c>
      <c r="V272" s="192">
        <f>IF(D272=År1,P272,SUM(O272,P272))*IFERROR(VLOOKUP(A272,[1]Tørstofindhold!A$2:B$24,2,FALSE),0)</f>
        <v>0</v>
      </c>
      <c r="W272" s="192">
        <f>J272*IFERROR(VLOOKUP(A272,[1]Tørstofindhold!A$2:B$24,2,FALSE),0)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O273*IFERROR(VLOOKUP(A273,[1]Tørstofindhold!A$2:B$24,2,FALSE),0)</f>
        <v>0</v>
      </c>
      <c r="V273" s="192">
        <f>IF(D273=År1,P273,SUM(O273,P273))*IFERROR(VLOOKUP(A273,[1]Tørstofindhold!A$2:B$24,2,FALSE),0)</f>
        <v>0</v>
      </c>
      <c r="W273" s="192">
        <f>J273*IFERROR(VLOOKUP(A273,[1]Tørstofindhold!A$2:B$24,2,FALSE),0)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O274*IFERROR(VLOOKUP(A274,[1]Tørstofindhold!A$2:B$24,2,FALSE),0)</f>
        <v>0</v>
      </c>
      <c r="V274" s="192">
        <f>IF(D274=År1,P274,SUM(O274,P274))*IFERROR(VLOOKUP(A274,[1]Tørstofindhold!A$2:B$24,2,FALSE),0)</f>
        <v>15965.064109898862</v>
      </c>
      <c r="W274" s="192">
        <f>J274*IFERROR(VLOOKUP(A274,[1]Tørstofindhold!A$2:B$24,2,FALSE),0)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O275*IFERROR(VLOOKUP(A275,[1]Tørstofindhold!A$2:B$24,2,FALSE),0)</f>
        <v>0</v>
      </c>
      <c r="V275" s="192">
        <f>IF(D275=År1,P275,SUM(O275,P275))*IFERROR(VLOOKUP(A275,[1]Tørstofindhold!A$2:B$24,2,FALSE),0)</f>
        <v>0</v>
      </c>
      <c r="W275" s="192">
        <f>J275*IFERROR(VLOOKUP(A275,[1]Tørstofindhold!A$2:B$24,2,FALSE),0)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O276*IFERROR(VLOOKUP(A276,[1]Tørstofindhold!A$2:B$24,2,FALSE),0)</f>
        <v>0</v>
      </c>
      <c r="V276" s="192">
        <f>IF(D276=År1,P276,SUM(O276,P276))*IFERROR(VLOOKUP(A276,[1]Tørstofindhold!A$2:B$24,2,FALSE),0)</f>
        <v>0</v>
      </c>
      <c r="W276" s="192">
        <f>J276*IFERROR(VLOOKUP(A276,[1]Tørstofindhold!A$2:B$24,2,FALSE),0)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271784.85087768652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271784.85087768652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O277*IFERROR(VLOOKUP(A277,[1]Tørstofindhold!A$2:B$24,2,FALSE),0)</f>
        <v>0</v>
      </c>
      <c r="V277" s="192">
        <f>IF(D277=År1,P277,SUM(O277,P277))*IFERROR(VLOOKUP(A277,[1]Tørstofindhold!A$2:B$24,2,FALSE),0)</f>
        <v>0</v>
      </c>
      <c r="W277" s="192">
        <f>J277*IFERROR(VLOOKUP(A277,[1]Tørstofindhold!A$2:B$24,2,FALSE),0)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O278*IFERROR(VLOOKUP(A278,[1]Tørstofindhold!A$2:B$24,2,FALSE),0)</f>
        <v>0</v>
      </c>
      <c r="V278" s="192">
        <f>IF(D278=År1,P278,SUM(O278,P278))*IFERROR(VLOOKUP(A278,[1]Tørstofindhold!A$2:B$24,2,FALSE),0)</f>
        <v>0</v>
      </c>
      <c r="W278" s="192">
        <f>J278*IFERROR(VLOOKUP(A278,[1]Tørstofindhold!A$2:B$24,2,FALSE),0)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78558.573618925613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O279*IFERROR(VLOOKUP(A279,[1]Tørstofindhold!A$2:B$24,2,FALSE),0)</f>
        <v>0</v>
      </c>
      <c r="V279" s="192">
        <f>IF(D279=År1,P279,SUM(O279,P279))*IFERROR(VLOOKUP(A279,[1]Tørstofindhold!A$2:B$24,2,FALSE),0)</f>
        <v>0</v>
      </c>
      <c r="W279" s="192">
        <f>J279*IFERROR(VLOOKUP(A279,[1]Tørstofindhold!A$2:B$24,2,FALSE),0)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O280*IFERROR(VLOOKUP(A280,[1]Tørstofindhold!A$2:B$24,2,FALSE),0)</f>
        <v>0</v>
      </c>
      <c r="V280" s="192">
        <f>IF(D280=År1,P280,SUM(O280,P280))*IFERROR(VLOOKUP(A280,[1]Tørstofindhold!A$2:B$24,2,FALSE),0)</f>
        <v>0</v>
      </c>
      <c r="W280" s="192">
        <f>J280*IFERROR(VLOOKUP(A280,[1]Tørstofindhold!A$2:B$24,2,FALSE),0)</f>
        <v>0</v>
      </c>
      <c r="X280" s="193">
        <f t="shared" si="65"/>
        <v>0</v>
      </c>
      <c r="Y280" s="171">
        <f t="shared" si="90"/>
        <v>0</v>
      </c>
      <c r="Z280" s="103">
        <f t="shared" si="91"/>
        <v>0</v>
      </c>
    </row>
    <row r="281" spans="1:26" hidden="1" x14ac:dyDescent="0.25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2215420.2193682976</v>
      </c>
      <c r="O281" s="195">
        <f t="shared" si="89"/>
        <v>1919162.7967223886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5.2086845968164317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5.2754796431685431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5.2086845968164317</v>
      </c>
      <c r="U281" s="191">
        <f>O281*IFERROR(VLOOKUP(A281,[1]Tørstofindhold!A$2:B$24,2,FALSE),0)</f>
        <v>383832.55934447772</v>
      </c>
      <c r="V281" s="192">
        <f>IF(D281=År1,P281,SUM(O281,P281))*IFERROR(VLOOKUP(A281,[1]Tørstofindhold!A$2:B$24,2,FALSE),0)</f>
        <v>388754.7451893519</v>
      </c>
      <c r="W281" s="192">
        <f>J281*IFERROR(VLOOKUP(A281,[1]Tørstofindhold!A$2:B$24,2,FALSE),0)</f>
        <v>4922.1858448741459</v>
      </c>
      <c r="X281" s="193">
        <f t="shared" si="65"/>
        <v>383832.55934447778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17515.983585710339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17515.983585710339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O282*IFERROR(VLOOKUP(A282,[1]Tørstofindhold!A$2:B$24,2,FALSE),0)</f>
        <v>0</v>
      </c>
      <c r="V282" s="192">
        <f>IF(D282=År1,P282,SUM(O282,P282))*IFERROR(VLOOKUP(A282,[1]Tørstofindhold!A$2:B$24,2,FALSE),0)</f>
        <v>0</v>
      </c>
      <c r="W282" s="192">
        <f>J282*IFERROR(VLOOKUP(A282,[1]Tørstofindhold!A$2:B$24,2,FALSE),0)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14228.619026408833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10358.273057913673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O283*IFERROR(VLOOKUP(A283,[1]Tørstofindhold!A$2:B$24,2,FALSE),0)</f>
        <v>0</v>
      </c>
      <c r="V283" s="192">
        <f>IF(D283=År1,P283,SUM(O283,P283))*IFERROR(VLOOKUP(A283,[1]Tørstofindhold!A$2:B$24,2,FALSE),0)</f>
        <v>0</v>
      </c>
      <c r="W283" s="192">
        <f>J283*IFERROR(VLOOKUP(A283,[1]Tørstofindhold!A$2:B$24,2,FALSE),0)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3498582.8365199142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2171749.3397621554</v>
      </c>
      <c r="O284" s="195">
        <f t="shared" si="89"/>
        <v>2171749.3397621554</v>
      </c>
      <c r="P284" s="205">
        <f t="shared" si="94"/>
        <v>1326833.4967577588</v>
      </c>
      <c r="Q284" s="192">
        <f>IFERROR(VLOOKUP(A284,[1]Energiindhold!$A$2:$C$11,3,FALSE),IFERROR(VLOOKUP(A284,[1]Biogasudbytte!$A$2:$B$18,2,FALSE)*[1]Energiindhold!$C$10,0))*O284</f>
        <v>1.0837246380347134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2">
        <f>IFERROR(VLOOKUP(A284,[1]Biogasudbytte!$A$2:$B$18,2,FALSE)*[1]Energiindhold!$C$10,0)*J284*IFERROR(VLOOKUP(A284,Biogasanlæg!$F$3:$G$8,2,FALSE),1)</f>
        <v>0.66210318321708928</v>
      </c>
      <c r="T284" s="193">
        <f t="shared" si="95"/>
        <v>1.0837246380347136</v>
      </c>
      <c r="U284" s="191">
        <f>O284*IFERROR(VLOOKUP(A284,[1]Tørstofindhold!A$2:B$24,2,FALSE),0)</f>
        <v>130304.96038572933</v>
      </c>
      <c r="V284" s="192">
        <f>IF(D284=År1,P284,SUM(O284,P284))*IFERROR(VLOOKUP(A284,[1]Tørstofindhold!A$2:B$24,2,FALSE),0)</f>
        <v>209914.97019119485</v>
      </c>
      <c r="W284" s="192">
        <f>J284*IFERROR(VLOOKUP(A284,[1]Tørstofindhold!A$2:B$24,2,FALSE),0)</f>
        <v>79610.009805465525</v>
      </c>
      <c r="X284" s="193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1672957.9533098161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886667.7152542026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92">
        <f>IFERROR(VLOOKUP(A285,[1]Biogasudbytte!$A$2:$B$18,2,FALSE)*[1]Energiindhold!$C$10,0)*J285*IFERROR(VLOOKUP(A285,Biogasanlæg!$F$3:$G$8,2,FALSE),1)</f>
        <v>0.38197645173151057</v>
      </c>
      <c r="T285" s="193">
        <f t="shared" si="95"/>
        <v>0</v>
      </c>
      <c r="U285" s="191">
        <f>O285*IFERROR(VLOOKUP(A285,[1]Tørstofindhold!A$2:B$24,2,FALSE),0)</f>
        <v>0</v>
      </c>
      <c r="V285" s="192">
        <f>IF(D285=År1,P285,SUM(O285,P285))*IFERROR(VLOOKUP(A285,[1]Tørstofindhold!A$2:B$24,2,FALSE),0)</f>
        <v>44333.385762710132</v>
      </c>
      <c r="W285" s="192">
        <f>J285*IFERROR(VLOOKUP(A285,[1]Tørstofindhold!A$2:B$24,2,FALSE),0)</f>
        <v>44333.385762710132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155347.1964728414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44872.898915976679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O286*IFERROR(VLOOKUP(A286,[1]Tørstofindhold!A$2:B$24,2,FALSE),0)</f>
        <v>0</v>
      </c>
      <c r="V286" s="192">
        <f>IF(D286=År1,P286,SUM(O286,P286))*IFERROR(VLOOKUP(A286,[1]Tørstofindhold!A$2:B$24,2,FALSE),0)</f>
        <v>0</v>
      </c>
      <c r="W286" s="192">
        <f>J286*IFERROR(VLOOKUP(A286,[1]Tørstofindhold!A$2:B$24,2,FALSE),0)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O287*IFERROR(VLOOKUP(A287,[1]Tørstofindhold!A$2:B$24,2,FALSE),0)</f>
        <v>675</v>
      </c>
      <c r="V287" s="192">
        <f>IF(D287=År1,P287,SUM(O287,P287))*IFERROR(VLOOKUP(A287,[1]Tørstofindhold!A$2:B$24,2,FALSE),0)</f>
        <v>675</v>
      </c>
      <c r="W287" s="192">
        <f>J287*IFERROR(VLOOKUP(A287,[1]Tørstofindhold!A$2:B$24,2,FALSE),0)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hidden="1" x14ac:dyDescent="0.25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O288*IFERROR(VLOOKUP(A288,[1]Tørstofindhold!A$2:B$24,2,FALSE),0)</f>
        <v>0</v>
      </c>
      <c r="V288" s="192">
        <f>IF(D288=År1,P288,SUM(O288,P288))*IFERROR(VLOOKUP(A288,[1]Tørstofindhold!A$2:B$24,2,FALSE),0)</f>
        <v>0</v>
      </c>
      <c r="W288" s="192">
        <f>J288*IFERROR(VLOOKUP(A288,[1]Tørstofindhold!A$2:B$24,2,FALSE),0)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O289*IFERROR(VLOOKUP(A289,[1]Tørstofindhold!A$2:B$24,2,FALSE),0)</f>
        <v>0</v>
      </c>
      <c r="V289" s="192">
        <f>IF(D289=År1,P289,SUM(O289,P289))*IFERROR(VLOOKUP(A289,[1]Tørstofindhold!A$2:B$24,2,FALSE),0)</f>
        <v>289386.06118651538</v>
      </c>
      <c r="W289" s="192">
        <f>J289*IFERROR(VLOOKUP(A289,[1]Tørstofindhold!A$2:B$24,2,FALSE),0)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O290*IFERROR(VLOOKUP(A290,[1]Tørstofindhold!A$2:B$24,2,FALSE),0)</f>
        <v>0</v>
      </c>
      <c r="V290" s="197">
        <f>IF(D290=År1,P290,SUM(O290,P290))*IFERROR(VLOOKUP(A290,[1]Tørstofindhold!A$2:B$24,2,FALSE),0)</f>
        <v>0</v>
      </c>
      <c r="W290" s="197">
        <f>J290*IFERROR(VLOOKUP(A290,[1]Tørstofindhold!A$2:B$24,2,FALSE),0)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>
    <filterColumn colId="0">
      <filters>
        <filter val="Raps"/>
        <filter val="Rapskage"/>
        <filter val="Rapsolie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17" workbookViewId="0">
      <selection activeCell="D24" sqref="D24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66" t="s">
        <v>23</v>
      </c>
      <c r="B2" s="367"/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2" t="s">
        <v>7</v>
      </c>
      <c r="D3" s="363"/>
      <c r="E3" s="363"/>
      <c r="F3" s="363"/>
      <c r="G3" s="363"/>
      <c r="H3" s="363"/>
      <c r="I3" s="363"/>
      <c r="J3" s="363"/>
      <c r="K3" s="364"/>
      <c r="L3" s="362" t="s">
        <v>8</v>
      </c>
      <c r="M3" s="363"/>
      <c r="N3" s="363"/>
      <c r="O3" s="363"/>
      <c r="P3" s="363"/>
      <c r="Q3" s="363"/>
      <c r="R3" s="363"/>
      <c r="S3" s="363"/>
      <c r="T3" s="364"/>
      <c r="U3" s="71"/>
      <c r="W3" s="31" t="s">
        <v>282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283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284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285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286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287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2" t="s">
        <v>7</v>
      </c>
      <c r="D22" s="363"/>
      <c r="E22" s="364"/>
      <c r="F22" s="365" t="s">
        <v>8</v>
      </c>
      <c r="G22" s="363"/>
      <c r="H22" s="36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69" t="s">
        <v>24</v>
      </c>
      <c r="B29" s="370"/>
      <c r="C29" s="370"/>
      <c r="D29" s="370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0"/>
      <c r="Q29" s="370"/>
      <c r="R29" s="370"/>
      <c r="S29" s="370"/>
      <c r="T29" s="370"/>
      <c r="U29" s="371"/>
    </row>
    <row r="30" spans="1:21" x14ac:dyDescent="0.25">
      <c r="A30" s="56"/>
      <c r="B30" s="53"/>
      <c r="C30" s="372" t="s">
        <v>7</v>
      </c>
      <c r="D30" s="373"/>
      <c r="E30" s="373"/>
      <c r="F30" s="373"/>
      <c r="G30" s="373"/>
      <c r="H30" s="373"/>
      <c r="I30" s="373"/>
      <c r="J30" s="373"/>
      <c r="K30" s="374"/>
      <c r="L30" s="372" t="s">
        <v>8</v>
      </c>
      <c r="M30" s="373"/>
      <c r="N30" s="373"/>
      <c r="O30" s="373"/>
      <c r="P30" s="373"/>
      <c r="Q30" s="373"/>
      <c r="R30" s="373"/>
      <c r="S30" s="373"/>
      <c r="T30" s="374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2" t="s">
        <v>7</v>
      </c>
      <c r="D49" s="363"/>
      <c r="E49" s="364"/>
      <c r="F49" s="365" t="s">
        <v>8</v>
      </c>
      <c r="G49" s="363"/>
      <c r="H49" s="36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J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1.28515625" bestFit="1" customWidth="1"/>
    <col min="37" max="37" width="12" bestFit="1" customWidth="1"/>
    <col min="38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6" x14ac:dyDescent="0.25">
      <c r="A3" s="77" t="s">
        <v>175</v>
      </c>
      <c r="B3" s="77" t="s">
        <v>62</v>
      </c>
    </row>
    <row r="4" spans="1:36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240</v>
      </c>
      <c r="AG4" s="171" t="s">
        <v>233</v>
      </c>
      <c r="AH4" s="171" t="s">
        <v>111</v>
      </c>
      <c r="AI4" s="171" t="s">
        <v>116</v>
      </c>
      <c r="AJ4" s="171" t="s">
        <v>61</v>
      </c>
    </row>
    <row r="5" spans="1:36" x14ac:dyDescent="0.25">
      <c r="A5" s="78" t="s">
        <v>110</v>
      </c>
      <c r="B5" s="242"/>
      <c r="C5" s="242"/>
      <c r="D5" s="242">
        <v>1462906</v>
      </c>
      <c r="E5" s="242">
        <v>3223493.7051022411</v>
      </c>
      <c r="F5" s="242"/>
      <c r="G5" s="242">
        <v>11794.123272219724</v>
      </c>
      <c r="H5" s="242"/>
      <c r="I5" s="242"/>
      <c r="J5" s="242">
        <v>428226</v>
      </c>
      <c r="K5" s="242">
        <v>257031</v>
      </c>
      <c r="L5" s="242"/>
      <c r="M5" s="242">
        <v>227802</v>
      </c>
      <c r="N5" s="242">
        <v>234</v>
      </c>
      <c r="O5" s="242"/>
      <c r="P5" s="242">
        <v>2444654</v>
      </c>
      <c r="Q5" s="242"/>
      <c r="R5" s="242">
        <v>11358</v>
      </c>
      <c r="S5" s="242">
        <v>21101993.732983526</v>
      </c>
      <c r="T5" s="242"/>
      <c r="U5" s="242">
        <v>990078</v>
      </c>
      <c r="V5" s="242"/>
      <c r="W5" s="242"/>
      <c r="X5" s="242"/>
      <c r="Y5" s="242">
        <v>85935</v>
      </c>
      <c r="Z5" s="242"/>
      <c r="AA5" s="242">
        <v>8315241.6371112876</v>
      </c>
      <c r="AB5" s="242">
        <v>17238701.15594501</v>
      </c>
      <c r="AC5" s="242"/>
      <c r="AD5" s="242"/>
      <c r="AE5" s="242"/>
      <c r="AF5" s="242"/>
      <c r="AG5" s="242"/>
      <c r="AH5" s="242"/>
      <c r="AI5" s="242"/>
      <c r="AJ5" s="242">
        <v>55799448.354414292</v>
      </c>
    </row>
    <row r="6" spans="1:36" x14ac:dyDescent="0.25">
      <c r="A6" s="79">
        <v>2019</v>
      </c>
      <c r="B6" s="242"/>
      <c r="C6" s="242"/>
      <c r="D6" s="242">
        <v>729134</v>
      </c>
      <c r="E6" s="242">
        <v>757087.00000000012</v>
      </c>
      <c r="F6" s="242"/>
      <c r="G6" s="242">
        <v>4441.5</v>
      </c>
      <c r="H6" s="242"/>
      <c r="I6" s="242"/>
      <c r="J6" s="242">
        <v>142742</v>
      </c>
      <c r="K6" s="242">
        <v>85676.999999999985</v>
      </c>
      <c r="L6" s="242"/>
      <c r="M6" s="242">
        <v>75934</v>
      </c>
      <c r="N6" s="242">
        <v>78</v>
      </c>
      <c r="O6" s="242"/>
      <c r="P6" s="242">
        <v>995654</v>
      </c>
      <c r="Q6" s="242"/>
      <c r="R6" s="242">
        <v>3785.9999999999991</v>
      </c>
      <c r="S6" s="242">
        <v>4353509.666666667</v>
      </c>
      <c r="T6" s="242"/>
      <c r="U6" s="242">
        <v>330026</v>
      </c>
      <c r="V6" s="242"/>
      <c r="W6" s="242"/>
      <c r="X6" s="242"/>
      <c r="Y6" s="242">
        <v>28645.000000000004</v>
      </c>
      <c r="Z6" s="242"/>
      <c r="AA6" s="242">
        <v>2668834</v>
      </c>
      <c r="AB6" s="242">
        <v>2914869.3333333335</v>
      </c>
      <c r="AC6" s="242"/>
      <c r="AD6" s="242"/>
      <c r="AE6" s="242"/>
      <c r="AF6" s="242"/>
      <c r="AG6" s="242"/>
      <c r="AH6" s="242"/>
      <c r="AI6" s="242"/>
      <c r="AJ6" s="242">
        <v>13090417.500000002</v>
      </c>
    </row>
    <row r="7" spans="1:36" x14ac:dyDescent="0.25">
      <c r="A7" s="79">
        <v>2030</v>
      </c>
      <c r="B7" s="242"/>
      <c r="C7" s="242"/>
      <c r="D7" s="242">
        <v>363995</v>
      </c>
      <c r="E7" s="242">
        <v>1204392.371220411</v>
      </c>
      <c r="F7" s="242"/>
      <c r="G7" s="242">
        <v>3617.1712242793342</v>
      </c>
      <c r="H7" s="242"/>
      <c r="I7" s="242"/>
      <c r="J7" s="242">
        <v>142742</v>
      </c>
      <c r="K7" s="242">
        <v>85677.000000000029</v>
      </c>
      <c r="L7" s="242"/>
      <c r="M7" s="242">
        <v>75934.000000000015</v>
      </c>
      <c r="N7" s="242">
        <v>78</v>
      </c>
      <c r="O7" s="242"/>
      <c r="P7" s="242">
        <v>725968.00000000012</v>
      </c>
      <c r="Q7" s="242"/>
      <c r="R7" s="242">
        <v>3786.0000000000009</v>
      </c>
      <c r="S7" s="242">
        <v>8455021.8174732123</v>
      </c>
      <c r="T7" s="242"/>
      <c r="U7" s="242">
        <v>330026</v>
      </c>
      <c r="V7" s="242"/>
      <c r="W7" s="242"/>
      <c r="X7" s="242"/>
      <c r="Y7" s="242">
        <v>28644.999999999996</v>
      </c>
      <c r="Z7" s="242"/>
      <c r="AA7" s="242">
        <v>2765437.867297628</v>
      </c>
      <c r="AB7" s="242">
        <v>7317872.3979037404</v>
      </c>
      <c r="AC7" s="242"/>
      <c r="AD7" s="242"/>
      <c r="AE7" s="242"/>
      <c r="AF7" s="242"/>
      <c r="AG7" s="242"/>
      <c r="AH7" s="242"/>
      <c r="AI7" s="242"/>
      <c r="AJ7" s="242">
        <v>21503192.625119273</v>
      </c>
    </row>
    <row r="8" spans="1:36" x14ac:dyDescent="0.25">
      <c r="A8" s="79">
        <v>2050</v>
      </c>
      <c r="B8" s="242"/>
      <c r="C8" s="242"/>
      <c r="D8" s="242">
        <v>369777</v>
      </c>
      <c r="E8" s="242">
        <v>1262014.3338818299</v>
      </c>
      <c r="F8" s="242"/>
      <c r="G8" s="242">
        <v>3735.45204794039</v>
      </c>
      <c r="H8" s="242"/>
      <c r="I8" s="242"/>
      <c r="J8" s="242">
        <v>142742</v>
      </c>
      <c r="K8" s="242">
        <v>85677</v>
      </c>
      <c r="L8" s="242"/>
      <c r="M8" s="242">
        <v>75934.000000000015</v>
      </c>
      <c r="N8" s="242">
        <v>78</v>
      </c>
      <c r="O8" s="242"/>
      <c r="P8" s="242">
        <v>723032.00000000012</v>
      </c>
      <c r="Q8" s="242"/>
      <c r="R8" s="242">
        <v>3786</v>
      </c>
      <c r="S8" s="242">
        <v>8293462.2488436466</v>
      </c>
      <c r="T8" s="242"/>
      <c r="U8" s="242">
        <v>330026</v>
      </c>
      <c r="V8" s="242"/>
      <c r="W8" s="242"/>
      <c r="X8" s="242"/>
      <c r="Y8" s="242">
        <v>28644.999999999996</v>
      </c>
      <c r="Z8" s="242"/>
      <c r="AA8" s="242">
        <v>2880969.7698136596</v>
      </c>
      <c r="AB8" s="242">
        <v>7005959.4247079371</v>
      </c>
      <c r="AC8" s="242"/>
      <c r="AD8" s="242"/>
      <c r="AE8" s="242"/>
      <c r="AF8" s="242"/>
      <c r="AG8" s="242"/>
      <c r="AH8" s="242"/>
      <c r="AI8" s="242"/>
      <c r="AJ8" s="242">
        <v>21205838.229295015</v>
      </c>
    </row>
    <row r="9" spans="1:36" x14ac:dyDescent="0.25">
      <c r="A9" s="78" t="s">
        <v>113</v>
      </c>
      <c r="B9" s="242"/>
      <c r="C9" s="242">
        <v>188279.23979522343</v>
      </c>
      <c r="D9" s="242"/>
      <c r="E9" s="242"/>
      <c r="F9" s="242"/>
      <c r="G9" s="242"/>
      <c r="H9" s="242"/>
      <c r="I9" s="242"/>
      <c r="J9" s="242"/>
      <c r="K9" s="242">
        <v>35723370.761702038</v>
      </c>
      <c r="L9" s="242"/>
      <c r="M9" s="242">
        <v>2256735.8881010804</v>
      </c>
      <c r="N9" s="242"/>
      <c r="O9" s="242">
        <v>14094793.090225756</v>
      </c>
      <c r="P9" s="242"/>
      <c r="Q9" s="242">
        <v>0</v>
      </c>
      <c r="R9" s="242">
        <v>17162175.705222934</v>
      </c>
      <c r="S9" s="242"/>
      <c r="T9" s="242">
        <v>4424562.1351877507</v>
      </c>
      <c r="U9" s="242">
        <v>16513658.323706053</v>
      </c>
      <c r="V9" s="242"/>
      <c r="W9" s="242"/>
      <c r="X9" s="242"/>
      <c r="Y9" s="242">
        <v>2455475.0856627058</v>
      </c>
      <c r="Z9" s="242">
        <v>115059.53543041431</v>
      </c>
      <c r="AA9" s="242"/>
      <c r="AB9" s="242"/>
      <c r="AC9" s="242"/>
      <c r="AD9" s="242"/>
      <c r="AE9" s="242"/>
      <c r="AF9" s="242">
        <v>624982.47654247773</v>
      </c>
      <c r="AG9" s="242"/>
      <c r="AH9" s="242"/>
      <c r="AI9" s="242"/>
      <c r="AJ9" s="242">
        <v>93559092.241576418</v>
      </c>
    </row>
    <row r="10" spans="1:36" x14ac:dyDescent="0.25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/>
      <c r="K10" s="242">
        <v>13739757.985270014</v>
      </c>
      <c r="L10" s="242"/>
      <c r="M10" s="242">
        <v>867975.34157733875</v>
      </c>
      <c r="N10" s="242"/>
      <c r="O10" s="242">
        <v>5421074.2654714445</v>
      </c>
      <c r="P10" s="242"/>
      <c r="Q10" s="242">
        <v>0</v>
      </c>
      <c r="R10" s="242">
        <v>6600836.8097011279</v>
      </c>
      <c r="S10" s="242"/>
      <c r="T10" s="242">
        <v>1701754.6673799041</v>
      </c>
      <c r="U10" s="242">
        <v>6351407.0475792512</v>
      </c>
      <c r="V10" s="242"/>
      <c r="W10" s="242"/>
      <c r="X10" s="242"/>
      <c r="Y10" s="242">
        <v>944413.49448565592</v>
      </c>
      <c r="Z10" s="242">
        <v>44253.667473236274</v>
      </c>
      <c r="AA10" s="242"/>
      <c r="AB10" s="242"/>
      <c r="AC10" s="242"/>
      <c r="AD10" s="242"/>
      <c r="AE10" s="242"/>
      <c r="AF10" s="242">
        <v>240377.87559326066</v>
      </c>
      <c r="AG10" s="242"/>
      <c r="AH10" s="242"/>
      <c r="AI10" s="242"/>
      <c r="AJ10" s="242">
        <v>35984266.24676016</v>
      </c>
    </row>
    <row r="11" spans="1:36" x14ac:dyDescent="0.25">
      <c r="A11" s="79">
        <v>2030</v>
      </c>
      <c r="B11" s="242"/>
      <c r="C11" s="242">
        <v>57932.073783145664</v>
      </c>
      <c r="D11" s="242"/>
      <c r="E11" s="242"/>
      <c r="F11" s="242"/>
      <c r="G11" s="242"/>
      <c r="H11" s="242"/>
      <c r="I11" s="242"/>
      <c r="J11" s="242"/>
      <c r="K11" s="242">
        <v>10991806.388216011</v>
      </c>
      <c r="L11" s="242"/>
      <c r="M11" s="242">
        <v>694380.27326187096</v>
      </c>
      <c r="N11" s="242"/>
      <c r="O11" s="242">
        <v>4336859.4123771554</v>
      </c>
      <c r="P11" s="242"/>
      <c r="Q11" s="242">
        <v>0</v>
      </c>
      <c r="R11" s="242">
        <v>5280669.4477609023</v>
      </c>
      <c r="S11" s="242"/>
      <c r="T11" s="242">
        <v>1361403.7339039231</v>
      </c>
      <c r="U11" s="242">
        <v>5081125.638063401</v>
      </c>
      <c r="V11" s="242"/>
      <c r="W11" s="242"/>
      <c r="X11" s="242"/>
      <c r="Y11" s="242">
        <v>755530.79558852478</v>
      </c>
      <c r="Z11" s="242">
        <v>35402.933978589019</v>
      </c>
      <c r="AA11" s="242"/>
      <c r="AB11" s="242"/>
      <c r="AC11" s="242"/>
      <c r="AD11" s="242"/>
      <c r="AE11" s="242"/>
      <c r="AF11" s="242">
        <v>192302.30047460849</v>
      </c>
      <c r="AG11" s="242"/>
      <c r="AH11" s="242"/>
      <c r="AI11" s="242"/>
      <c r="AJ11" s="242">
        <v>28787412.997408129</v>
      </c>
    </row>
    <row r="12" spans="1:36" x14ac:dyDescent="0.25">
      <c r="A12" s="79">
        <v>2050</v>
      </c>
      <c r="B12" s="242"/>
      <c r="C12" s="242">
        <v>57932.073783145672</v>
      </c>
      <c r="D12" s="242"/>
      <c r="E12" s="242"/>
      <c r="F12" s="242"/>
      <c r="G12" s="242"/>
      <c r="H12" s="242"/>
      <c r="I12" s="242"/>
      <c r="J12" s="242"/>
      <c r="K12" s="242">
        <v>10991806.388216011</v>
      </c>
      <c r="L12" s="242"/>
      <c r="M12" s="242">
        <v>694380.27326187096</v>
      </c>
      <c r="N12" s="242"/>
      <c r="O12" s="242">
        <v>4336859.4123771554</v>
      </c>
      <c r="P12" s="242"/>
      <c r="Q12" s="242">
        <v>0</v>
      </c>
      <c r="R12" s="242">
        <v>5280669.4477609023</v>
      </c>
      <c r="S12" s="242"/>
      <c r="T12" s="242">
        <v>1361403.7339039231</v>
      </c>
      <c r="U12" s="242">
        <v>5081125.638063401</v>
      </c>
      <c r="V12" s="242"/>
      <c r="W12" s="242"/>
      <c r="X12" s="242"/>
      <c r="Y12" s="242">
        <v>755530.79558852478</v>
      </c>
      <c r="Z12" s="242">
        <v>35402.933978589019</v>
      </c>
      <c r="AA12" s="242"/>
      <c r="AB12" s="242"/>
      <c r="AC12" s="242"/>
      <c r="AD12" s="242"/>
      <c r="AE12" s="242"/>
      <c r="AF12" s="242">
        <v>192302.30047460849</v>
      </c>
      <c r="AG12" s="242"/>
      <c r="AH12" s="242"/>
      <c r="AI12" s="242"/>
      <c r="AJ12" s="242">
        <v>28787412.997408129</v>
      </c>
    </row>
    <row r="13" spans="1:36" x14ac:dyDescent="0.25">
      <c r="A13" s="78" t="s">
        <v>128</v>
      </c>
      <c r="B13" s="242">
        <v>182574.19618217932</v>
      </c>
      <c r="C13" s="242">
        <v>0</v>
      </c>
      <c r="D13" s="242"/>
      <c r="E13" s="242"/>
      <c r="F13" s="242">
        <v>281468.55244752642</v>
      </c>
      <c r="G13" s="242"/>
      <c r="H13" s="242">
        <v>197788.71253069426</v>
      </c>
      <c r="I13" s="242">
        <v>1445379.0531089196</v>
      </c>
      <c r="J13" s="242"/>
      <c r="K13" s="242"/>
      <c r="L13" s="242">
        <v>1513844.376677237</v>
      </c>
      <c r="M13" s="242"/>
      <c r="N13" s="242"/>
      <c r="O13" s="242"/>
      <c r="P13" s="242"/>
      <c r="Q13" s="242">
        <v>692260.49385742994</v>
      </c>
      <c r="R13" s="242">
        <v>1658382.281988129</v>
      </c>
      <c r="S13" s="242"/>
      <c r="T13" s="242"/>
      <c r="U13" s="242"/>
      <c r="V13" s="242">
        <v>2647325.8446415998</v>
      </c>
      <c r="W13" s="242">
        <v>336392.95646566537</v>
      </c>
      <c r="X13" s="242"/>
      <c r="Y13" s="242"/>
      <c r="Z13" s="242"/>
      <c r="AA13" s="242"/>
      <c r="AB13" s="242"/>
      <c r="AC13" s="242">
        <v>682979.63888483576</v>
      </c>
      <c r="AD13" s="242"/>
      <c r="AE13" s="242"/>
      <c r="AF13" s="242"/>
      <c r="AG13" s="242"/>
      <c r="AH13" s="242"/>
      <c r="AI13" s="242"/>
      <c r="AJ13" s="242">
        <v>9638396.1067842171</v>
      </c>
    </row>
    <row r="14" spans="1:36" x14ac:dyDescent="0.25">
      <c r="A14" s="79">
        <v>2019</v>
      </c>
      <c r="B14" s="242">
        <v>58403.100598004137</v>
      </c>
      <c r="C14" s="242">
        <v>0</v>
      </c>
      <c r="D14" s="242"/>
      <c r="E14" s="242"/>
      <c r="F14" s="242">
        <v>90038.113421923044</v>
      </c>
      <c r="G14" s="242"/>
      <c r="H14" s="242">
        <v>63270.025647837821</v>
      </c>
      <c r="I14" s="242">
        <v>462357.87973419944</v>
      </c>
      <c r="J14" s="242"/>
      <c r="K14" s="242"/>
      <c r="L14" s="242">
        <v>484259.042458451</v>
      </c>
      <c r="M14" s="242"/>
      <c r="N14" s="242"/>
      <c r="O14" s="242"/>
      <c r="P14" s="242"/>
      <c r="Q14" s="242">
        <v>221445.08976743236</v>
      </c>
      <c r="R14" s="242">
        <v>530494.83043187088</v>
      </c>
      <c r="S14" s="242"/>
      <c r="T14" s="242"/>
      <c r="U14" s="242"/>
      <c r="V14" s="242">
        <v>846844.95867106004</v>
      </c>
      <c r="W14" s="242">
        <v>107607.71285182264</v>
      </c>
      <c r="X14" s="242"/>
      <c r="Y14" s="242"/>
      <c r="Z14" s="242"/>
      <c r="AA14" s="242"/>
      <c r="AB14" s="242"/>
      <c r="AC14" s="242">
        <v>218476.26548703379</v>
      </c>
      <c r="AD14" s="242"/>
      <c r="AE14" s="242"/>
      <c r="AF14" s="242"/>
      <c r="AG14" s="242"/>
      <c r="AH14" s="242"/>
      <c r="AI14" s="242"/>
      <c r="AJ14" s="242">
        <v>3083197.0190696353</v>
      </c>
    </row>
    <row r="15" spans="1:36" x14ac:dyDescent="0.25">
      <c r="A15" s="79">
        <v>2030</v>
      </c>
      <c r="B15" s="242">
        <v>60789.12467762841</v>
      </c>
      <c r="C15" s="242">
        <v>0</v>
      </c>
      <c r="D15" s="242"/>
      <c r="E15" s="242"/>
      <c r="F15" s="242">
        <v>93716.56721134379</v>
      </c>
      <c r="G15" s="242"/>
      <c r="H15" s="242">
        <v>65854.885067430776</v>
      </c>
      <c r="I15" s="242">
        <v>481247.23703122488</v>
      </c>
      <c r="J15" s="242"/>
      <c r="K15" s="242"/>
      <c r="L15" s="242">
        <v>504043.1587853356</v>
      </c>
      <c r="M15" s="242"/>
      <c r="N15" s="242"/>
      <c r="O15" s="242"/>
      <c r="P15" s="242"/>
      <c r="Q15" s="242">
        <v>230492.09773600774</v>
      </c>
      <c r="R15" s="242">
        <v>552167.88248845807</v>
      </c>
      <c r="S15" s="242"/>
      <c r="T15" s="242"/>
      <c r="U15" s="242"/>
      <c r="V15" s="242">
        <v>881442.3078256119</v>
      </c>
      <c r="W15" s="242">
        <v>112003.96221853035</v>
      </c>
      <c r="X15" s="242"/>
      <c r="Y15" s="242"/>
      <c r="Z15" s="242"/>
      <c r="AA15" s="242"/>
      <c r="AB15" s="242"/>
      <c r="AC15" s="242">
        <v>227401.98389822827</v>
      </c>
      <c r="AD15" s="242"/>
      <c r="AE15" s="242"/>
      <c r="AF15" s="242"/>
      <c r="AG15" s="242"/>
      <c r="AH15" s="242"/>
      <c r="AI15" s="242"/>
      <c r="AJ15" s="242">
        <v>3209159.2069397997</v>
      </c>
    </row>
    <row r="16" spans="1:36" x14ac:dyDescent="0.25">
      <c r="A16" s="79">
        <v>2050</v>
      </c>
      <c r="B16" s="242">
        <v>63381.970906546776</v>
      </c>
      <c r="C16" s="242">
        <v>0</v>
      </c>
      <c r="D16" s="242"/>
      <c r="E16" s="242"/>
      <c r="F16" s="242">
        <v>97713.871814259604</v>
      </c>
      <c r="G16" s="242"/>
      <c r="H16" s="242">
        <v>68663.801815425672</v>
      </c>
      <c r="I16" s="242">
        <v>501773.93634349527</v>
      </c>
      <c r="J16" s="242"/>
      <c r="K16" s="242"/>
      <c r="L16" s="242">
        <v>525542.17543345026</v>
      </c>
      <c r="M16" s="242"/>
      <c r="N16" s="242"/>
      <c r="O16" s="242"/>
      <c r="P16" s="242"/>
      <c r="Q16" s="242">
        <v>240323.30635398987</v>
      </c>
      <c r="R16" s="242">
        <v>575719.56906779984</v>
      </c>
      <c r="S16" s="242"/>
      <c r="T16" s="242"/>
      <c r="U16" s="242"/>
      <c r="V16" s="242">
        <v>919038.57814492821</v>
      </c>
      <c r="W16" s="242">
        <v>116781.28139531243</v>
      </c>
      <c r="X16" s="242"/>
      <c r="Y16" s="242"/>
      <c r="Z16" s="242"/>
      <c r="AA16" s="242"/>
      <c r="AB16" s="242"/>
      <c r="AC16" s="242">
        <v>237101.38949957371</v>
      </c>
      <c r="AD16" s="242"/>
      <c r="AE16" s="242"/>
      <c r="AF16" s="242"/>
      <c r="AG16" s="242"/>
      <c r="AH16" s="242"/>
      <c r="AI16" s="242"/>
      <c r="AJ16" s="242">
        <v>3346039.8807747816</v>
      </c>
    </row>
    <row r="17" spans="1:36" x14ac:dyDescent="0.25">
      <c r="A17" s="78" t="s">
        <v>121</v>
      </c>
      <c r="B17" s="242"/>
      <c r="C17" s="242"/>
      <c r="D17" s="242">
        <v>0</v>
      </c>
      <c r="E17" s="242"/>
      <c r="F17" s="242"/>
      <c r="G17" s="242"/>
      <c r="H17" s="242"/>
      <c r="I17" s="242"/>
      <c r="J17" s="242"/>
      <c r="K17" s="242"/>
      <c r="L17" s="242"/>
      <c r="M17" s="242">
        <v>6075820.2462235913</v>
      </c>
      <c r="N17" s="242">
        <v>2948193</v>
      </c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/>
      <c r="AD17" s="242">
        <v>636963.68412800436</v>
      </c>
      <c r="AE17" s="242">
        <v>8445237.9421698824</v>
      </c>
      <c r="AF17" s="242"/>
      <c r="AG17" s="242">
        <v>561015.58304251544</v>
      </c>
      <c r="AH17" s="242"/>
      <c r="AI17" s="242"/>
      <c r="AJ17" s="242">
        <v>18667230.455563992</v>
      </c>
    </row>
    <row r="18" spans="1:36" x14ac:dyDescent="0.25">
      <c r="A18" s="79">
        <v>2019</v>
      </c>
      <c r="B18" s="242"/>
      <c r="C18" s="242"/>
      <c r="D18" s="242">
        <v>0</v>
      </c>
      <c r="E18" s="242"/>
      <c r="F18" s="242"/>
      <c r="G18" s="242"/>
      <c r="H18" s="242"/>
      <c r="I18" s="242"/>
      <c r="J18" s="242"/>
      <c r="K18" s="242"/>
      <c r="L18" s="242"/>
      <c r="M18" s="242">
        <v>1893765.2125355615</v>
      </c>
      <c r="N18" s="242">
        <v>982731</v>
      </c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/>
      <c r="AD18" s="242">
        <v>209782.38739500003</v>
      </c>
      <c r="AE18" s="242">
        <v>3010238.4923246857</v>
      </c>
      <c r="AF18" s="242"/>
      <c r="AG18" s="242">
        <v>112887.06079513082</v>
      </c>
      <c r="AH18" s="242"/>
      <c r="AI18" s="242"/>
      <c r="AJ18" s="242">
        <v>6209404.1530503789</v>
      </c>
    </row>
    <row r="19" spans="1:36" x14ac:dyDescent="0.25">
      <c r="A19" s="79">
        <v>2030</v>
      </c>
      <c r="B19" s="242"/>
      <c r="C19" s="242"/>
      <c r="D19" s="242">
        <v>0</v>
      </c>
      <c r="E19" s="242"/>
      <c r="F19" s="242"/>
      <c r="G19" s="242"/>
      <c r="H19" s="242"/>
      <c r="I19" s="242"/>
      <c r="J19" s="242"/>
      <c r="K19" s="242"/>
      <c r="L19" s="242"/>
      <c r="M19" s="242">
        <v>2142228.3524030885</v>
      </c>
      <c r="N19" s="242">
        <v>982731</v>
      </c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/>
      <c r="AD19" s="242">
        <v>216936.14364827855</v>
      </c>
      <c r="AE19" s="242">
        <v>2848752.9835421797</v>
      </c>
      <c r="AF19" s="242"/>
      <c r="AG19" s="242">
        <v>227903.51886082417</v>
      </c>
      <c r="AH19" s="242"/>
      <c r="AI19" s="242"/>
      <c r="AJ19" s="242">
        <v>6418551.9984543715</v>
      </c>
    </row>
    <row r="20" spans="1:36" x14ac:dyDescent="0.25">
      <c r="A20" s="79">
        <v>2050</v>
      </c>
      <c r="B20" s="242"/>
      <c r="C20" s="242"/>
      <c r="D20" s="242">
        <v>0</v>
      </c>
      <c r="E20" s="242"/>
      <c r="F20" s="242"/>
      <c r="G20" s="242"/>
      <c r="H20" s="242"/>
      <c r="I20" s="242"/>
      <c r="J20" s="242"/>
      <c r="K20" s="242"/>
      <c r="L20" s="242"/>
      <c r="M20" s="242">
        <v>2039826.6812849408</v>
      </c>
      <c r="N20" s="242">
        <v>982731</v>
      </c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/>
      <c r="AD20" s="242">
        <v>210245.15308472581</v>
      </c>
      <c r="AE20" s="242">
        <v>2586246.4663030161</v>
      </c>
      <c r="AF20" s="242"/>
      <c r="AG20" s="242">
        <v>220225.00338656051</v>
      </c>
      <c r="AH20" s="242"/>
      <c r="AI20" s="242"/>
      <c r="AJ20" s="242">
        <v>6039274.3040592428</v>
      </c>
    </row>
    <row r="21" spans="1:36" x14ac:dyDescent="0.25">
      <c r="A21" s="78" t="s">
        <v>165</v>
      </c>
      <c r="B21" s="242"/>
      <c r="C21" s="242"/>
      <c r="D21" s="242">
        <v>0</v>
      </c>
      <c r="E21" s="242"/>
      <c r="F21" s="242"/>
      <c r="G21" s="242"/>
      <c r="H21" s="242"/>
      <c r="I21" s="242"/>
      <c r="J21" s="242"/>
      <c r="K21" s="242"/>
      <c r="L21" s="242"/>
      <c r="M21" s="242">
        <v>0</v>
      </c>
      <c r="N21" s="242">
        <v>0</v>
      </c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/>
      <c r="AD21" s="242">
        <v>0</v>
      </c>
      <c r="AE21" s="242">
        <v>0</v>
      </c>
      <c r="AF21" s="242"/>
      <c r="AG21" s="242">
        <v>104203.4407339669</v>
      </c>
      <c r="AH21" s="242"/>
      <c r="AI21" s="242"/>
      <c r="AJ21" s="242">
        <v>104203.4407339669</v>
      </c>
    </row>
    <row r="22" spans="1:36" x14ac:dyDescent="0.25">
      <c r="A22" s="79">
        <v>2019</v>
      </c>
      <c r="B22" s="242"/>
      <c r="C22" s="242"/>
      <c r="D22" s="242">
        <v>0</v>
      </c>
      <c r="E22" s="242"/>
      <c r="F22" s="242"/>
      <c r="G22" s="242"/>
      <c r="H22" s="242"/>
      <c r="I22" s="242"/>
      <c r="J22" s="242"/>
      <c r="K22" s="242"/>
      <c r="L22" s="242"/>
      <c r="M22" s="242">
        <v>0</v>
      </c>
      <c r="N22" s="242">
        <v>0</v>
      </c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/>
      <c r="AD22" s="242">
        <v>0</v>
      </c>
      <c r="AE22" s="242">
        <v>0</v>
      </c>
      <c r="AF22" s="242"/>
      <c r="AG22" s="242">
        <v>104203.4407339669</v>
      </c>
      <c r="AH22" s="242"/>
      <c r="AI22" s="242"/>
      <c r="AJ22" s="242">
        <v>104203.4407339669</v>
      </c>
    </row>
    <row r="23" spans="1:36" x14ac:dyDescent="0.25">
      <c r="A23" s="79">
        <v>2030</v>
      </c>
      <c r="B23" s="242"/>
      <c r="C23" s="242"/>
      <c r="D23" s="242">
        <v>0</v>
      </c>
      <c r="E23" s="242"/>
      <c r="F23" s="242"/>
      <c r="G23" s="242"/>
      <c r="H23" s="242"/>
      <c r="I23" s="242"/>
      <c r="J23" s="242"/>
      <c r="K23" s="242"/>
      <c r="L23" s="242"/>
      <c r="M23" s="242">
        <v>0</v>
      </c>
      <c r="N23" s="242">
        <v>0</v>
      </c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/>
      <c r="AD23" s="242">
        <v>0</v>
      </c>
      <c r="AE23" s="242">
        <v>0</v>
      </c>
      <c r="AF23" s="242"/>
      <c r="AG23" s="242">
        <v>0</v>
      </c>
      <c r="AH23" s="242"/>
      <c r="AI23" s="242"/>
      <c r="AJ23" s="242">
        <v>0</v>
      </c>
    </row>
    <row r="24" spans="1:36" x14ac:dyDescent="0.25">
      <c r="A24" s="79">
        <v>2050</v>
      </c>
      <c r="B24" s="242"/>
      <c r="C24" s="242"/>
      <c r="D24" s="242">
        <v>0</v>
      </c>
      <c r="E24" s="242"/>
      <c r="F24" s="242"/>
      <c r="G24" s="242"/>
      <c r="H24" s="242"/>
      <c r="I24" s="242"/>
      <c r="J24" s="242"/>
      <c r="K24" s="242"/>
      <c r="L24" s="242"/>
      <c r="M24" s="242">
        <v>0</v>
      </c>
      <c r="N24" s="242">
        <v>0</v>
      </c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/>
      <c r="AD24" s="242">
        <v>0</v>
      </c>
      <c r="AE24" s="242">
        <v>0</v>
      </c>
      <c r="AF24" s="242"/>
      <c r="AG24" s="242">
        <v>0</v>
      </c>
      <c r="AH24" s="242"/>
      <c r="AI24" s="242"/>
      <c r="AJ24" s="242">
        <v>0</v>
      </c>
    </row>
    <row r="25" spans="1:36" x14ac:dyDescent="0.25">
      <c r="A25" s="78" t="s">
        <v>115</v>
      </c>
      <c r="B25" s="242"/>
      <c r="C25" s="242"/>
      <c r="D25" s="242"/>
      <c r="E25" s="242">
        <v>1757476.1026458484</v>
      </c>
      <c r="F25" s="242"/>
      <c r="G25" s="242">
        <v>8929.8361918235059</v>
      </c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>
        <v>9927884.0123390965</v>
      </c>
      <c r="T25" s="242"/>
      <c r="U25" s="242"/>
      <c r="V25" s="242"/>
      <c r="W25" s="242"/>
      <c r="X25" s="242"/>
      <c r="Y25" s="242"/>
      <c r="Z25" s="242"/>
      <c r="AA25" s="242"/>
      <c r="AB25" s="242">
        <v>27444396.622567583</v>
      </c>
      <c r="AC25" s="242"/>
      <c r="AD25" s="242"/>
      <c r="AE25" s="242"/>
      <c r="AF25" s="242"/>
      <c r="AG25" s="242"/>
      <c r="AH25" s="242">
        <v>42029043.134376839</v>
      </c>
      <c r="AI25" s="242">
        <v>3570276.5450340863</v>
      </c>
      <c r="AJ25" s="242">
        <v>84738006.253155291</v>
      </c>
    </row>
    <row r="26" spans="1:36" x14ac:dyDescent="0.25">
      <c r="A26" s="79">
        <v>2019</v>
      </c>
      <c r="B26" s="242"/>
      <c r="C26" s="242"/>
      <c r="D26" s="242"/>
      <c r="E26" s="242">
        <v>823764.99285714305</v>
      </c>
      <c r="F26" s="242"/>
      <c r="G26" s="242">
        <v>3362.8500000000004</v>
      </c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/>
      <c r="S26" s="242">
        <v>6423924.8458333323</v>
      </c>
      <c r="T26" s="242"/>
      <c r="U26" s="242"/>
      <c r="V26" s="242"/>
      <c r="W26" s="242"/>
      <c r="X26" s="242"/>
      <c r="Y26" s="242"/>
      <c r="Z26" s="242"/>
      <c r="AA26" s="242"/>
      <c r="AB26" s="242">
        <v>14742130.666666664</v>
      </c>
      <c r="AC26" s="242"/>
      <c r="AD26" s="242"/>
      <c r="AE26" s="242"/>
      <c r="AF26" s="242"/>
      <c r="AG26" s="242"/>
      <c r="AH26" s="242">
        <v>8803491.7355084848</v>
      </c>
      <c r="AI26" s="242">
        <v>1108490.5539925825</v>
      </c>
      <c r="AJ26" s="242">
        <v>31905165.644858211</v>
      </c>
    </row>
    <row r="27" spans="1:36" x14ac:dyDescent="0.25">
      <c r="A27" s="79">
        <v>2030</v>
      </c>
      <c r="B27" s="242"/>
      <c r="C27" s="242"/>
      <c r="D27" s="242"/>
      <c r="E27" s="242">
        <v>455948.54053344129</v>
      </c>
      <c r="F27" s="242"/>
      <c r="G27" s="242">
        <v>2738.7153555257819</v>
      </c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/>
      <c r="S27" s="242">
        <v>1768879.5644450537</v>
      </c>
      <c r="T27" s="242"/>
      <c r="U27" s="242"/>
      <c r="V27" s="242"/>
      <c r="W27" s="242"/>
      <c r="X27" s="242"/>
      <c r="Y27" s="242"/>
      <c r="Z27" s="242"/>
      <c r="AA27" s="242"/>
      <c r="AB27" s="242">
        <v>6489434.013235392</v>
      </c>
      <c r="AC27" s="242"/>
      <c r="AD27" s="242"/>
      <c r="AE27" s="242"/>
      <c r="AF27" s="242"/>
      <c r="AG27" s="242"/>
      <c r="AH27" s="242">
        <v>16819605.005375024</v>
      </c>
      <c r="AI27" s="242">
        <v>1250598.08486075</v>
      </c>
      <c r="AJ27" s="242">
        <v>26787203.923805185</v>
      </c>
    </row>
    <row r="28" spans="1:36" x14ac:dyDescent="0.25">
      <c r="A28" s="79">
        <v>2050</v>
      </c>
      <c r="B28" s="242"/>
      <c r="C28" s="242"/>
      <c r="D28" s="242"/>
      <c r="E28" s="242">
        <v>477762.56925526413</v>
      </c>
      <c r="F28" s="242"/>
      <c r="G28" s="242">
        <v>2828.2708362977232</v>
      </c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/>
      <c r="S28" s="242">
        <v>1735079.6020607101</v>
      </c>
      <c r="T28" s="242"/>
      <c r="U28" s="242"/>
      <c r="V28" s="242"/>
      <c r="W28" s="242"/>
      <c r="X28" s="242"/>
      <c r="Y28" s="242"/>
      <c r="Z28" s="242"/>
      <c r="AA28" s="242"/>
      <c r="AB28" s="242">
        <v>6212831.9426655285</v>
      </c>
      <c r="AC28" s="242"/>
      <c r="AD28" s="242"/>
      <c r="AE28" s="242"/>
      <c r="AF28" s="242"/>
      <c r="AG28" s="242"/>
      <c r="AH28" s="242">
        <v>16405946.393493332</v>
      </c>
      <c r="AI28" s="242">
        <v>1211187.9061807538</v>
      </c>
      <c r="AJ28" s="242">
        <v>26045636.684491888</v>
      </c>
    </row>
    <row r="29" spans="1:36" x14ac:dyDescent="0.25">
      <c r="A29" s="78" t="s">
        <v>239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/>
      <c r="X29" s="242">
        <v>2078809.4493015073</v>
      </c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>
        <v>2078809.4493015073</v>
      </c>
    </row>
    <row r="30" spans="1:36" x14ac:dyDescent="0.25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/>
      <c r="X30" s="242">
        <v>678407.81727843033</v>
      </c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>
        <v>678407.81727843033</v>
      </c>
    </row>
    <row r="31" spans="1:36" x14ac:dyDescent="0.25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/>
      <c r="X31" s="242">
        <v>712198.49644007557</v>
      </c>
      <c r="Y31" s="242"/>
      <c r="Z31" s="242"/>
      <c r="AA31" s="242"/>
      <c r="AB31" s="242"/>
      <c r="AC31" s="242"/>
      <c r="AD31" s="242"/>
      <c r="AE31" s="242"/>
      <c r="AF31" s="242"/>
      <c r="AG31" s="242"/>
      <c r="AH31" s="242"/>
      <c r="AI31" s="242"/>
      <c r="AJ31" s="242">
        <v>712198.49644007557</v>
      </c>
    </row>
    <row r="32" spans="1:36" x14ac:dyDescent="0.25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/>
      <c r="X32" s="242">
        <v>688203.13558300154</v>
      </c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>
        <v>688203.13558300154</v>
      </c>
    </row>
    <row r="33" spans="1:36" x14ac:dyDescent="0.25">
      <c r="A33" s="78" t="s">
        <v>61</v>
      </c>
      <c r="B33" s="242">
        <v>182574.19618217932</v>
      </c>
      <c r="C33" s="242">
        <v>188279.23979522343</v>
      </c>
      <c r="D33" s="242">
        <v>1462906</v>
      </c>
      <c r="E33" s="242">
        <v>4980969.8077480895</v>
      </c>
      <c r="F33" s="242">
        <v>281468.55244752642</v>
      </c>
      <c r="G33" s="242">
        <v>20723.95946404323</v>
      </c>
      <c r="H33" s="242">
        <v>197788.71253069426</v>
      </c>
      <c r="I33" s="242">
        <v>1445379.0531089196</v>
      </c>
      <c r="J33" s="242">
        <v>428226</v>
      </c>
      <c r="K33" s="242">
        <v>35980401.761702038</v>
      </c>
      <c r="L33" s="242">
        <v>1513844.376677237</v>
      </c>
      <c r="M33" s="242">
        <v>8560358.1343246717</v>
      </c>
      <c r="N33" s="242">
        <v>2948427</v>
      </c>
      <c r="O33" s="242">
        <v>14094793.090225756</v>
      </c>
      <c r="P33" s="242">
        <v>2444654</v>
      </c>
      <c r="Q33" s="242">
        <v>692260.49385742994</v>
      </c>
      <c r="R33" s="242">
        <v>18831915.987211064</v>
      </c>
      <c r="S33" s="242">
        <v>31029877.745322619</v>
      </c>
      <c r="T33" s="242">
        <v>4424562.1351877507</v>
      </c>
      <c r="U33" s="242">
        <v>17503736.323706053</v>
      </c>
      <c r="V33" s="242">
        <v>2647325.8446415998</v>
      </c>
      <c r="W33" s="242">
        <v>336392.95646566537</v>
      </c>
      <c r="X33" s="242">
        <v>2078809.4493015073</v>
      </c>
      <c r="Y33" s="242">
        <v>2541410.0856627058</v>
      </c>
      <c r="Z33" s="242">
        <v>115059.53543041431</v>
      </c>
      <c r="AA33" s="242">
        <v>8315241.6371112876</v>
      </c>
      <c r="AB33" s="242">
        <v>44683097.778512597</v>
      </c>
      <c r="AC33" s="242">
        <v>682979.63888483576</v>
      </c>
      <c r="AD33" s="242">
        <v>636963.68412800436</v>
      </c>
      <c r="AE33" s="242">
        <v>8445237.9421698824</v>
      </c>
      <c r="AF33" s="242">
        <v>624982.47654247773</v>
      </c>
      <c r="AG33" s="242">
        <v>665219.02377648233</v>
      </c>
      <c r="AH33" s="242">
        <v>42029043.134376839</v>
      </c>
      <c r="AI33" s="242">
        <v>3570276.5450340863</v>
      </c>
      <c r="AJ33" s="242">
        <v>264585186.30152971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9.28515625" bestFit="1" customWidth="1"/>
    <col min="12" max="13" width="11.5703125" bestFit="1" customWidth="1"/>
    <col min="14" max="14" width="5.28515625" bestFit="1" customWidth="1"/>
    <col min="15" max="15" width="13.28515625" bestFit="1" customWidth="1"/>
    <col min="16" max="16" width="13.85546875" bestFit="1" customWidth="1"/>
    <col min="17" max="17" width="5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288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1108490.5539925825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7949378.1351335607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74189.67769150075</v>
      </c>
      <c r="E7" s="76">
        <v>1250598.08486075</v>
      </c>
      <c r="F7" s="76">
        <v>21032.815128937291</v>
      </c>
      <c r="G7" s="76">
        <v>142742</v>
      </c>
      <c r="H7" s="76">
        <v>437443.77822737186</v>
      </c>
      <c r="I7" s="76">
        <v>4336859.4123771554</v>
      </c>
      <c r="J7" s="76">
        <v>6473831.1549278479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73602.891942499205</v>
      </c>
      <c r="E8" s="76">
        <v>1211187.9061807538</v>
      </c>
      <c r="F8" s="76">
        <v>28706.337967901869</v>
      </c>
      <c r="G8" s="76">
        <v>142742</v>
      </c>
      <c r="H8" s="76">
        <v>459349.41813660081</v>
      </c>
      <c r="I8" s="76">
        <v>4336859.4123771554</v>
      </c>
      <c r="J8" s="76">
        <v>6494401.8928307109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430124.59997510223</v>
      </c>
      <c r="E9" s="76">
        <v>3570276.5450340863</v>
      </c>
      <c r="F9" s="76">
        <v>49739.15309683916</v>
      </c>
      <c r="G9" s="76">
        <v>428226</v>
      </c>
      <c r="H9" s="76">
        <v>1317423.1862054006</v>
      </c>
      <c r="I9" s="76">
        <v>14094793.090225754</v>
      </c>
      <c r="J9" s="76">
        <v>20917611.182892121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6" width="11" style="171" bestFit="1" customWidth="1"/>
    <col min="17" max="17" width="9.85546875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3.85546875" style="171" bestFit="1" customWidth="1"/>
    <col min="23" max="23" width="10.140625" style="171" bestFit="1" customWidth="1"/>
    <col min="24" max="24" width="12.140625" style="171" bestFit="1" customWidth="1"/>
    <col min="25" max="25" width="16" style="171" bestFit="1" customWidth="1"/>
    <col min="26" max="27" width="9.85546875" style="171" bestFit="1" customWidth="1"/>
    <col min="28" max="28" width="9.28515625" style="171" bestFit="1" customWidth="1"/>
    <col min="29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310</v>
      </c>
      <c r="B2" s="78">
        <v>1</v>
      </c>
    </row>
    <row r="4" spans="1:48" x14ac:dyDescent="0.25">
      <c r="A4" s="77" t="s">
        <v>258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240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38726531.363933533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240738.79472010836</v>
      </c>
      <c r="D7" s="98">
        <v>2948279.9748971234</v>
      </c>
      <c r="E7" s="98">
        <v>748443.83068696968</v>
      </c>
      <c r="F7" s="98">
        <v>91643.463111055491</v>
      </c>
      <c r="G7" s="98">
        <v>1570157.2016349281</v>
      </c>
      <c r="H7" s="98">
        <v>7576872.8456154009</v>
      </c>
      <c r="I7" s="98">
        <v>2134206.5118205468</v>
      </c>
      <c r="J7" s="98">
        <v>3743700.5343613457</v>
      </c>
      <c r="K7" s="98">
        <v>27559.785504281797</v>
      </c>
      <c r="L7" s="98">
        <v>2961150.4845719668</v>
      </c>
      <c r="M7" s="98">
        <v>1798536.4273682984</v>
      </c>
      <c r="N7" s="98">
        <v>148232.6739623498</v>
      </c>
      <c r="O7" s="98"/>
      <c r="P7" s="98">
        <v>4173274.1072842204</v>
      </c>
      <c r="Q7" s="98">
        <v>1992661.9607506471</v>
      </c>
      <c r="R7" s="98">
        <v>170927.12035893119</v>
      </c>
      <c r="S7" s="98">
        <v>82984.069195880496</v>
      </c>
      <c r="T7" s="98">
        <v>1034744.5263498498</v>
      </c>
      <c r="U7" s="98">
        <v>14400</v>
      </c>
      <c r="V7" s="98">
        <v>783291.25515859458</v>
      </c>
      <c r="W7" s="98">
        <v>901127.32528332912</v>
      </c>
      <c r="X7" s="98">
        <v>878.45586875355229</v>
      </c>
      <c r="Y7" s="98">
        <v>4526444.2578007793</v>
      </c>
      <c r="Z7" s="98">
        <v>954977.96501922607</v>
      </c>
      <c r="AA7" s="98">
        <v>2101303.8465657956</v>
      </c>
      <c r="AB7" s="98">
        <v>163796.94774542924</v>
      </c>
      <c r="AC7" s="98">
        <v>41014933.584390819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230377.75918826333</v>
      </c>
      <c r="D8" s="98">
        <v>3088580.6906975764</v>
      </c>
      <c r="E8" s="98">
        <v>784251.76462656562</v>
      </c>
      <c r="F8" s="98">
        <v>81923.291098767033</v>
      </c>
      <c r="G8" s="98">
        <v>1522723.6559768345</v>
      </c>
      <c r="H8" s="98">
        <v>7186166.448623132</v>
      </c>
      <c r="I8" s="98">
        <v>2041999.0273120813</v>
      </c>
      <c r="J8" s="98">
        <v>3445654.0507503473</v>
      </c>
      <c r="K8" s="98">
        <v>1759.4160492342635</v>
      </c>
      <c r="L8" s="98">
        <v>2759146.6428546174</v>
      </c>
      <c r="M8" s="98">
        <v>1711158.8341175241</v>
      </c>
      <c r="N8" s="98">
        <v>243411.82603765032</v>
      </c>
      <c r="O8" s="98"/>
      <c r="P8" s="98">
        <v>4095754.4227852407</v>
      </c>
      <c r="Q8" s="98">
        <v>1919162.7967223886</v>
      </c>
      <c r="R8" s="98">
        <v>165969.71296028496</v>
      </c>
      <c r="S8" s="98">
        <v>79705.883661789994</v>
      </c>
      <c r="T8" s="98">
        <v>990366.50688011281</v>
      </c>
      <c r="U8" s="98">
        <v>18000</v>
      </c>
      <c r="V8" s="98">
        <v>712825.86568798381</v>
      </c>
      <c r="W8" s="98">
        <v>883908.47652149468</v>
      </c>
      <c r="X8" s="98">
        <v>907.18121164266609</v>
      </c>
      <c r="Y8" s="98">
        <v>4715545.854665624</v>
      </c>
      <c r="Z8" s="98">
        <v>922616.4144434646</v>
      </c>
      <c r="AA8" s="98">
        <v>2030965.6070747143</v>
      </c>
      <c r="AB8" s="98">
        <v>151799.26731689228</v>
      </c>
      <c r="AC8" s="98">
        <v>39901858.897224739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683827.56366411853</v>
      </c>
      <c r="D9" s="98">
        <v>9267389.7378362119</v>
      </c>
      <c r="E9" s="98">
        <v>2884913.6024563927</v>
      </c>
      <c r="F9" s="98">
        <v>311842.03423872165</v>
      </c>
      <c r="G9" s="98">
        <v>4595438.8932199776</v>
      </c>
      <c r="H9" s="98">
        <v>18881043.0045387</v>
      </c>
      <c r="I9" s="98">
        <v>6217079.2899987623</v>
      </c>
      <c r="J9" s="98">
        <v>9164024.9144231118</v>
      </c>
      <c r="K9" s="98">
        <v>81211.334173612384</v>
      </c>
      <c r="L9" s="98">
        <v>6986559.3736940771</v>
      </c>
      <c r="M9" s="98">
        <v>6046478.5028147623</v>
      </c>
      <c r="N9" s="98">
        <v>392524.60000000009</v>
      </c>
      <c r="O9" s="98">
        <v>8064.2063400965635</v>
      </c>
      <c r="P9" s="98">
        <v>13538028.530069461</v>
      </c>
      <c r="Q9" s="98">
        <v>5568189.3989739502</v>
      </c>
      <c r="R9" s="98">
        <v>553907.20075473934</v>
      </c>
      <c r="S9" s="98">
        <v>268636.26442962571</v>
      </c>
      <c r="T9" s="98">
        <v>3407762.4644088694</v>
      </c>
      <c r="U9" s="98">
        <v>32476.5</v>
      </c>
      <c r="V9" s="98">
        <v>2323810.3257687828</v>
      </c>
      <c r="W9" s="98">
        <v>5057601.2893048245</v>
      </c>
      <c r="X9" s="98">
        <v>2864.2870803962182</v>
      </c>
      <c r="Y9" s="98">
        <v>13610314.014145063</v>
      </c>
      <c r="Z9" s="98">
        <v>2789169.0219477573</v>
      </c>
      <c r="AA9" s="98">
        <v>6137371.6250412865</v>
      </c>
      <c r="AB9" s="98">
        <v>414422.24810827605</v>
      </c>
      <c r="AC9" s="98">
        <v>119643323.84554909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232</v>
      </c>
      <c r="C4" s="171" t="s">
        <v>159</v>
      </c>
      <c r="D4" s="171" t="s">
        <v>226</v>
      </c>
      <c r="E4" s="171" t="s">
        <v>229</v>
      </c>
      <c r="F4" s="171" t="s">
        <v>228</v>
      </c>
      <c r="G4" s="171" t="s">
        <v>224</v>
      </c>
      <c r="H4" s="171" t="s">
        <v>233</v>
      </c>
      <c r="I4" s="171" t="s">
        <v>227</v>
      </c>
      <c r="J4" s="171" t="s">
        <v>322</v>
      </c>
      <c r="K4" s="171" t="s">
        <v>61</v>
      </c>
    </row>
    <row r="5" spans="1:11" x14ac:dyDescent="0.25">
      <c r="A5" s="78" t="s">
        <v>295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25">
      <c r="A6" s="79">
        <v>2019</v>
      </c>
      <c r="B6" s="240">
        <v>17.543930524502301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3.951047127829578</v>
      </c>
      <c r="I6" s="240">
        <v>47.489094924341849</v>
      </c>
      <c r="J6" s="240">
        <v>0</v>
      </c>
      <c r="K6" s="240">
        <v>88.557663065230912</v>
      </c>
    </row>
    <row r="7" spans="1:11" x14ac:dyDescent="0.25">
      <c r="A7" s="79">
        <v>2030</v>
      </c>
      <c r="B7" s="240">
        <v>19.802671473587463</v>
      </c>
      <c r="C7" s="240">
        <v>0</v>
      </c>
      <c r="D7" s="240">
        <v>29.979193434395683</v>
      </c>
      <c r="E7" s="240">
        <v>34.963307596754014</v>
      </c>
      <c r="F7" s="240">
        <v>0.14596282488120896</v>
      </c>
      <c r="G7" s="240">
        <v>2.0687027810954168</v>
      </c>
      <c r="H7" s="240">
        <v>7.9766231601288453</v>
      </c>
      <c r="I7" s="240">
        <v>45.280222691386172</v>
      </c>
      <c r="J7" s="240">
        <v>0</v>
      </c>
      <c r="K7" s="240">
        <v>140.21668396222879</v>
      </c>
    </row>
    <row r="8" spans="1:11" x14ac:dyDescent="0.25">
      <c r="A8" s="79">
        <v>2050</v>
      </c>
      <c r="B8" s="240">
        <v>19.897035061438991</v>
      </c>
      <c r="C8" s="240">
        <v>0</v>
      </c>
      <c r="D8" s="240">
        <v>28.335669039324991</v>
      </c>
      <c r="E8" s="240">
        <v>32.884136275413141</v>
      </c>
      <c r="F8" s="240">
        <v>0.23461711386879117</v>
      </c>
      <c r="G8" s="240">
        <v>2.1371305709880617</v>
      </c>
      <c r="H8" s="240">
        <v>7.7078751185296177</v>
      </c>
      <c r="I8" s="240">
        <v>41.352452170508407</v>
      </c>
      <c r="J8" s="240">
        <v>0</v>
      </c>
      <c r="K8" s="240">
        <v>132.54891535007201</v>
      </c>
    </row>
    <row r="9" spans="1:11" x14ac:dyDescent="0.25">
      <c r="A9" s="78" t="s">
        <v>247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25">
      <c r="A10" s="79">
        <v>2019</v>
      </c>
      <c r="B10" s="240">
        <v>7.483154704207001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>
        <v>16.615858669715003</v>
      </c>
    </row>
    <row r="11" spans="1:11" x14ac:dyDescent="0.25">
      <c r="A11" s="79">
        <v>2030</v>
      </c>
      <c r="B11" s="240">
        <v>5.2940684669341902</v>
      </c>
      <c r="C11" s="240">
        <v>2.1694819870080004</v>
      </c>
      <c r="D11" s="240">
        <v>1.4201719861750004</v>
      </c>
      <c r="E11" s="240">
        <v>0.45076703432000004</v>
      </c>
      <c r="F11" s="240">
        <v>0</v>
      </c>
      <c r="G11" s="240">
        <v>10.028349209867528</v>
      </c>
      <c r="H11" s="240">
        <v>0</v>
      </c>
      <c r="I11" s="240">
        <v>0</v>
      </c>
      <c r="J11" s="240">
        <v>0</v>
      </c>
      <c r="K11" s="240">
        <v>19.36283868430472</v>
      </c>
    </row>
    <row r="12" spans="1:11" x14ac:dyDescent="0.25">
      <c r="A12" s="79">
        <v>2050</v>
      </c>
      <c r="B12" s="240">
        <v>5.3606050360007158</v>
      </c>
      <c r="C12" s="240">
        <v>2.1694819870080004</v>
      </c>
      <c r="D12" s="240">
        <v>1.4201719861750002</v>
      </c>
      <c r="E12" s="240">
        <v>0.45076703432000009</v>
      </c>
      <c r="F12" s="240">
        <v>0</v>
      </c>
      <c r="G12" s="240">
        <v>9.9363705968314342</v>
      </c>
      <c r="H12" s="240">
        <v>0</v>
      </c>
      <c r="I12" s="240">
        <v>0</v>
      </c>
      <c r="J12" s="240">
        <v>0</v>
      </c>
      <c r="K12" s="240">
        <v>19.33739664033515</v>
      </c>
    </row>
    <row r="13" spans="1:11" x14ac:dyDescent="0.25">
      <c r="A13" s="78" t="s">
        <v>296</v>
      </c>
      <c r="B13" s="240">
        <v>57.243637059528758</v>
      </c>
      <c r="C13" s="240">
        <v>0</v>
      </c>
      <c r="D13" s="240">
        <v>58.314862473720673</v>
      </c>
      <c r="E13" s="240">
        <v>87.421034360724349</v>
      </c>
      <c r="F13" s="240">
        <v>0.38057993875000012</v>
      </c>
      <c r="G13" s="240">
        <v>4.205833352083479</v>
      </c>
      <c r="H13" s="240">
        <v>19.635545406488042</v>
      </c>
      <c r="I13" s="240">
        <v>134.12176978623643</v>
      </c>
      <c r="J13" s="240">
        <v>0</v>
      </c>
      <c r="K13" s="240">
        <v>361.32326237753171</v>
      </c>
    </row>
    <row r="14" spans="1:11" x14ac:dyDescent="0.25">
      <c r="A14" s="78" t="s">
        <v>248</v>
      </c>
      <c r="B14" s="240">
        <v>18.137828207141908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25.057002764703967</v>
      </c>
      <c r="H14" s="240">
        <v>0</v>
      </c>
      <c r="I14" s="240">
        <v>0</v>
      </c>
      <c r="J14" s="240">
        <v>0</v>
      </c>
      <c r="K14" s="240">
        <v>55.316093994354873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241</v>
      </c>
      <c r="B1" s="77" t="s">
        <v>62</v>
      </c>
    </row>
    <row r="2" spans="1:9" x14ac:dyDescent="0.25">
      <c r="A2" s="77" t="s">
        <v>60</v>
      </c>
      <c r="B2" s="171" t="s">
        <v>232</v>
      </c>
      <c r="C2" s="171" t="s">
        <v>159</v>
      </c>
      <c r="D2" s="171" t="s">
        <v>226</v>
      </c>
      <c r="E2" s="171" t="s">
        <v>229</v>
      </c>
      <c r="F2" s="171" t="s">
        <v>228</v>
      </c>
      <c r="G2" s="171" t="s">
        <v>224</v>
      </c>
      <c r="H2" s="171" t="s">
        <v>227</v>
      </c>
      <c r="I2" s="171" t="s">
        <v>61</v>
      </c>
    </row>
    <row r="3" spans="1:9" x14ac:dyDescent="0.25">
      <c r="A3" s="78">
        <v>2019</v>
      </c>
      <c r="B3" s="241">
        <v>1077304.94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1575873.4784311759</v>
      </c>
      <c r="I3" s="241">
        <v>5289806.6849197373</v>
      </c>
    </row>
    <row r="4" spans="1:9" x14ac:dyDescent="0.25">
      <c r="A4" s="78">
        <v>2030</v>
      </c>
      <c r="B4" s="241">
        <v>1139180.7875059044</v>
      </c>
      <c r="C4" s="241">
        <v>128467.8</v>
      </c>
      <c r="D4" s="241">
        <v>3537128.2942940318</v>
      </c>
      <c r="E4" s="241">
        <v>3047158.8251946424</v>
      </c>
      <c r="F4" s="241">
        <v>24394.90109435247</v>
      </c>
      <c r="G4" s="241">
        <v>1663095.0398237593</v>
      </c>
      <c r="H4" s="241">
        <v>1498974.2460576054</v>
      </c>
      <c r="I4" s="241">
        <v>11038399.893970296</v>
      </c>
    </row>
    <row r="5" spans="1:9" x14ac:dyDescent="0.25">
      <c r="A5" s="78">
        <v>2050</v>
      </c>
      <c r="B5" s="241">
        <v>1157844.6374687571</v>
      </c>
      <c r="C5" s="241">
        <v>128467.8</v>
      </c>
      <c r="D5" s="241">
        <v>3352429.5178153403</v>
      </c>
      <c r="E5" s="241">
        <v>2867722.9948248072</v>
      </c>
      <c r="F5" s="241">
        <v>39211.773905647548</v>
      </c>
      <c r="G5" s="241">
        <v>1661950.46181102</v>
      </c>
      <c r="H5" s="241">
        <v>1366366.1366558613</v>
      </c>
      <c r="I5" s="241">
        <v>10573993.322481433</v>
      </c>
    </row>
    <row r="6" spans="1:9" x14ac:dyDescent="0.25">
      <c r="A6" s="78" t="s">
        <v>61</v>
      </c>
      <c r="B6" s="241">
        <v>3374330.3649746617</v>
      </c>
      <c r="C6" s="241">
        <v>385403.4</v>
      </c>
      <c r="D6" s="241">
        <v>7018284.172109372</v>
      </c>
      <c r="E6" s="241">
        <v>7590299.8106746767</v>
      </c>
      <c r="F6" s="241">
        <v>63606.675000000017</v>
      </c>
      <c r="G6" s="241">
        <v>4029061.6174681131</v>
      </c>
      <c r="H6" s="241">
        <v>4441213.8611446423</v>
      </c>
      <c r="I6" s="241">
        <v>26902199.901371464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200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267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12662850.806285977</v>
      </c>
      <c r="C4" s="98">
        <v>-24610.813181900667</v>
      </c>
      <c r="D4" s="98">
        <v>4405853.505497627</v>
      </c>
      <c r="E4" s="98">
        <v>9296833.4976137169</v>
      </c>
      <c r="F4" s="98">
        <v>-673285.95920501021</v>
      </c>
      <c r="G4" s="98">
        <v>-341939.42443845799</v>
      </c>
      <c r="H4" s="98">
        <v>0</v>
      </c>
      <c r="I4" s="98">
        <v>25325701.612571955</v>
      </c>
    </row>
    <row r="5" spans="1:9" x14ac:dyDescent="0.25">
      <c r="A5" s="78">
        <v>2050</v>
      </c>
      <c r="B5" s="98">
        <v>11673273.753400896</v>
      </c>
      <c r="C5" s="98">
        <v>-40179.115818099352</v>
      </c>
      <c r="D5" s="98">
        <v>4388184.7278760895</v>
      </c>
      <c r="E5" s="98">
        <v>9211339.4377100542</v>
      </c>
      <c r="F5" s="98">
        <v>-1552855.8846793412</v>
      </c>
      <c r="G5" s="98">
        <v>-333215.41168781015</v>
      </c>
      <c r="H5" s="98">
        <v>0</v>
      </c>
      <c r="I5" s="98">
        <v>23346547.506801788</v>
      </c>
    </row>
    <row r="6" spans="1:9" x14ac:dyDescent="0.25">
      <c r="A6" s="78" t="s">
        <v>61</v>
      </c>
      <c r="B6" s="98">
        <v>38853587.002062723</v>
      </c>
      <c r="C6" s="98">
        <v>-64948.366200000019</v>
      </c>
      <c r="D6" s="98">
        <v>14313300.134110432</v>
      </c>
      <c r="E6" s="98">
        <v>28233639.125057951</v>
      </c>
      <c r="F6" s="98">
        <v>-2788041.8438843517</v>
      </c>
      <c r="G6" s="98">
        <v>-840362.04702132777</v>
      </c>
      <c r="H6" s="98">
        <v>0</v>
      </c>
      <c r="I6" s="98">
        <v>77707174.004125416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267</v>
      </c>
      <c r="E9" s="171" t="s">
        <v>267</v>
      </c>
      <c r="G9" s="171" t="s">
        <v>267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10853893.509390926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4046578.8260529838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-313642.01757617836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10029238.357747888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4029816.5016583097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-305735.90389246412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1808957.2968950507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359274.67944464367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-28297.406862279633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1644035.3956530073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358368.22621777962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-27479.507795346046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25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25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25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194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25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25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25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25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25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25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25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25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25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2021-09-10T12:12:24Z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613914608955383</vt:r8>
  </property>
</Properties>
</file>