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29483C6D-724C-455B-BC94-57A6CF07FEDC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84" r:id="rId37"/>
    <pivotCache cacheId="289" r:id="rId38"/>
    <pivotCache cacheId="294" r:id="rId39"/>
    <pivotCache cacheId="300" r:id="rId40"/>
    <pivotCache cacheId="305" r:id="rId41"/>
    <pivotCache cacheId="310" r:id="rId42"/>
    <pivotCache cacheId="314" r:id="rId43"/>
    <pivotCache cacheId="319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17" l="1"/>
  <c r="D33" i="17" s="1"/>
  <c r="E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D46" i="17"/>
  <c r="E46" i="17" l="1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E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C24" i="20" l="1"/>
  <c r="P2" i="18" s="1"/>
  <c r="F3" i="35"/>
  <c r="F87" i="35"/>
  <c r="R54" i="66"/>
  <c r="C31" i="17"/>
  <c r="C3" i="32"/>
  <c r="C10" i="17"/>
  <c r="D269" i="38"/>
  <c r="E31" i="17"/>
  <c r="E3" i="32"/>
  <c r="D22" i="17"/>
  <c r="E22" i="17" s="1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D24" i="20" l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75" i="35" l="1"/>
  <c r="H175" i="35"/>
  <c r="I177" i="35"/>
  <c r="H177" i="35"/>
  <c r="H176" i="35"/>
  <c r="I176" i="35"/>
  <c r="I178" i="35"/>
  <c r="H178" i="35"/>
  <c r="I173" i="35"/>
  <c r="H173" i="35"/>
  <c r="I171" i="35"/>
  <c r="J78" i="37" s="1"/>
  <c r="H171" i="35"/>
  <c r="H179" i="35"/>
  <c r="I181" i="35"/>
  <c r="H181" i="35"/>
  <c r="I179" i="35"/>
  <c r="J108" i="37" s="1"/>
  <c r="H180" i="35"/>
  <c r="I180" i="35"/>
  <c r="H182" i="35"/>
  <c r="I182" i="35"/>
  <c r="I172" i="35"/>
  <c r="H172" i="35"/>
  <c r="I174" i="35"/>
  <c r="J86" i="58" s="1"/>
  <c r="H174" i="35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H117" i="58"/>
  <c r="H117" i="37"/>
  <c r="H85" i="37"/>
  <c r="H85" i="58"/>
  <c r="I115" i="37"/>
  <c r="I115" i="58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58"/>
  <c r="J86" i="37"/>
  <c r="H113" i="37"/>
  <c r="H113" i="58"/>
  <c r="H81" i="58"/>
  <c r="H81" i="37"/>
  <c r="I113" i="37"/>
  <c r="I113" i="58"/>
  <c r="H83" i="58"/>
  <c r="H83" i="37"/>
  <c r="J79" i="58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H97" i="37"/>
  <c r="H97" i="58"/>
  <c r="I117" i="37"/>
  <c r="I117" i="58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J111" i="37" l="1"/>
  <c r="J109" i="37"/>
  <c r="J85" i="58"/>
  <c r="J81" i="58"/>
  <c r="J81" i="41" s="1"/>
  <c r="J80" i="37"/>
  <c r="J83" i="58"/>
  <c r="J79" i="37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J140" i="66"/>
  <c r="N140" i="66" s="1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E24" i="17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E26" i="17" s="1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E27" i="17" s="1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E25" i="17"/>
  <c r="T11" i="20"/>
  <c r="T15" i="20"/>
  <c r="T13" i="20"/>
  <c r="K15" i="20"/>
  <c r="K6" i="20"/>
  <c r="T16" i="20"/>
  <c r="H19" i="20"/>
  <c r="H10" i="20"/>
  <c r="H15" i="20"/>
  <c r="H14" i="20"/>
  <c r="Q19" i="20"/>
  <c r="O6" i="9"/>
  <c r="D27" i="17" s="1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D25" i="17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D26" i="17" s="1"/>
  <c r="P11" i="20"/>
  <c r="G10" i="20"/>
  <c r="P13" i="20"/>
  <c r="G17" i="20"/>
  <c r="G11" i="20"/>
  <c r="G19" i="20"/>
  <c r="P14" i="20"/>
  <c r="G12" i="20"/>
  <c r="D24" i="17"/>
  <c r="D28" i="17" s="1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Q10" i="9" l="1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E48" i="17" l="1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O20" i="20" s="1"/>
  <c r="F19" i="20"/>
  <c r="G16" i="18" s="1" a="1"/>
  <c r="G16" i="18" s="1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15" i="35" a="1"/>
  <c r="H15" i="35" s="1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H6" i="35" a="1"/>
  <c r="H6" i="35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H48" i="35" l="1" a="1"/>
  <c r="H48" i="35" s="1"/>
  <c r="I288" i="18"/>
  <c r="J288" i="18" s="1"/>
  <c r="G58" i="18" a="1"/>
  <c r="G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18" i="18"/>
  <c r="J1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71" i="18"/>
  <c r="J71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J328" i="18"/>
  <c r="F323" i="18"/>
  <c r="H58" i="18"/>
  <c r="I58" i="18"/>
  <c r="J335" i="18"/>
  <c r="F335" i="18"/>
  <c r="F280" i="18"/>
  <c r="F279" i="18"/>
  <c r="F288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I27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F277" i="18" l="1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17" i="18"/>
  <c r="F332" i="18"/>
  <c r="J332" i="18"/>
  <c r="J291" i="18"/>
  <c r="F291" i="18"/>
  <c r="F64" i="18"/>
  <c r="J64" i="18"/>
  <c r="J27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J24" i="18" l="1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37"/>
  <c r="J43" i="37"/>
  <c r="J19" i="58"/>
  <c r="J19" i="37"/>
  <c r="I55" i="37"/>
  <c r="I31" i="37"/>
  <c r="H163" i="58"/>
  <c r="H163" i="37"/>
  <c r="H71" i="58"/>
  <c r="H59" i="37"/>
  <c r="H47" i="58"/>
  <c r="H47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54" i="58"/>
  <c r="I42" i="37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49" i="37"/>
  <c r="I65" i="58"/>
  <c r="I65" i="37"/>
  <c r="I53" i="58"/>
  <c r="I53" i="37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I58" i="37"/>
  <c r="I58" i="58"/>
  <c r="H58" i="37"/>
  <c r="H58" i="58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I70" i="58"/>
  <c r="I22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6" i="37"/>
  <c r="J21" i="37"/>
  <c r="J21" i="58"/>
  <c r="J18" i="58"/>
  <c r="J18" i="37"/>
  <c r="J15" i="37"/>
  <c r="J15" i="58"/>
  <c r="G12" i="39" l="1"/>
  <c r="J24" i="58"/>
  <c r="H40" i="58"/>
  <c r="H35" i="37"/>
  <c r="H22" i="37"/>
  <c r="J46" i="58"/>
  <c r="H21" i="37"/>
  <c r="H45" i="37"/>
  <c r="H45" i="58"/>
  <c r="I35" i="37"/>
  <c r="I66" i="58"/>
  <c r="J34" i="37"/>
  <c r="H69" i="58"/>
  <c r="H40" i="37"/>
  <c r="J73" i="37"/>
  <c r="J67" i="58"/>
  <c r="I70" i="37"/>
  <c r="G13" i="39"/>
  <c r="G16" i="39"/>
  <c r="H64" i="37"/>
  <c r="H73" i="58"/>
  <c r="H33" i="37"/>
  <c r="H31" i="58"/>
  <c r="H31" i="41" s="1"/>
  <c r="I46" i="58"/>
  <c r="I25" i="37"/>
  <c r="J38" i="37"/>
  <c r="J54" i="37"/>
  <c r="J23" i="37"/>
  <c r="I45" i="37"/>
  <c r="J22" i="37"/>
  <c r="I17" i="37"/>
  <c r="I31" i="58"/>
  <c r="I22" i="37"/>
  <c r="I22" i="41" s="1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J23" i="41" s="1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69" i="37"/>
  <c r="I69" i="41" s="1"/>
  <c r="J62" i="37"/>
  <c r="H71" i="37"/>
  <c r="H71" i="41" s="1"/>
  <c r="H17" i="37"/>
  <c r="H17" i="41" s="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J67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I30" i="41" l="1"/>
  <c r="N75" i="66"/>
  <c r="I66" i="41"/>
  <c r="G27" i="39"/>
  <c r="H33" i="41"/>
  <c r="N59" i="66"/>
  <c r="H28" i="41"/>
  <c r="H6" i="6"/>
  <c r="G28" i="39"/>
  <c r="O201" i="66"/>
  <c r="N93" i="66"/>
  <c r="Y237" i="66" s="1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Z93" i="66" l="1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N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N58" i="66" s="1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Q237" i="66" l="1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Y52" i="66" l="1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P265" i="66"/>
  <c r="S265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H433" i="41" l="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T121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N211" i="66" l="1"/>
  <c r="O211" i="66" s="1"/>
  <c r="Q289" i="66"/>
  <c r="R289" i="66" s="1"/>
  <c r="T289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G19" i="39" l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X241" i="66" s="1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X89" i="66" s="1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X255" i="66" s="1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X39" i="66" s="1"/>
  <c r="W39" i="66"/>
  <c r="V279" i="66"/>
  <c r="W183" i="66"/>
  <c r="U231" i="66"/>
  <c r="U87" i="66"/>
  <c r="U279" i="66"/>
  <c r="V231" i="66"/>
  <c r="X231" i="66" s="1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X265" i="66" s="1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X29" i="66" s="1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X123" i="66" s="1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X196" i="66" s="1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X287" i="66" s="1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X22" i="66" s="1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X285" i="66" s="1"/>
  <c r="W164" i="66"/>
  <c r="W260" i="66"/>
  <c r="W212" i="66"/>
  <c r="W68" i="66"/>
  <c r="W116" i="66"/>
  <c r="W20" i="66"/>
  <c r="V20" i="66"/>
  <c r="U260" i="66"/>
  <c r="V164" i="66"/>
  <c r="V260" i="66"/>
  <c r="X260" i="66" s="1"/>
  <c r="V116" i="66"/>
  <c r="U116" i="66"/>
  <c r="V212" i="66"/>
  <c r="U164" i="66"/>
  <c r="U68" i="66"/>
  <c r="U20" i="66"/>
  <c r="V68" i="66"/>
  <c r="X68" i="66" s="1"/>
  <c r="U212" i="66"/>
  <c r="W140" i="66"/>
  <c r="W92" i="66"/>
  <c r="W284" i="66"/>
  <c r="W236" i="66"/>
  <c r="U236" i="66"/>
  <c r="V236" i="66"/>
  <c r="X236" i="66" s="1"/>
  <c r="U92" i="66"/>
  <c r="V92" i="66"/>
  <c r="U140" i="66"/>
  <c r="V140" i="66"/>
  <c r="V284" i="66"/>
  <c r="X284" i="66" s="1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X211" i="66" s="1"/>
  <c r="U163" i="66"/>
  <c r="U67" i="66"/>
  <c r="V67" i="66"/>
  <c r="V259" i="66"/>
  <c r="V115" i="66"/>
  <c r="U259" i="66"/>
  <c r="U115" i="66"/>
  <c r="U19" i="66"/>
  <c r="X217" i="66" l="1"/>
  <c r="X31" i="66"/>
  <c r="X226" i="66"/>
  <c r="X104" i="66"/>
  <c r="X105" i="66"/>
  <c r="X107" i="66"/>
  <c r="X160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J4" i="37" l="1"/>
  <c r="J4" i="58"/>
  <c r="I4" i="58"/>
  <c r="I4" i="37"/>
  <c r="H4" i="37" l="1"/>
  <c r="H4" i="58"/>
  <c r="I4" i="41"/>
  <c r="D45" i="39" s="1"/>
  <c r="E19" i="53"/>
  <c r="F53" i="66"/>
  <c r="E25" i="53"/>
  <c r="N4" i="58"/>
  <c r="F197" i="66"/>
  <c r="L45" i="39"/>
  <c r="O4" i="58"/>
  <c r="F245" i="66"/>
  <c r="E37" i="53"/>
  <c r="M45" i="39"/>
  <c r="J4" i="41"/>
  <c r="E45" i="39" s="1"/>
  <c r="F101" i="66"/>
  <c r="E31" i="53"/>
  <c r="L59" i="39" l="1"/>
  <c r="L60" i="39" s="1"/>
  <c r="E158" i="38"/>
  <c r="L56" i="39"/>
  <c r="E107" i="38"/>
  <c r="D56" i="39"/>
  <c r="D59" i="39"/>
  <c r="D60" i="39" s="1"/>
  <c r="E56" i="39"/>
  <c r="E59" i="39"/>
  <c r="E60" i="39" s="1"/>
  <c r="E124" i="38"/>
  <c r="E13" i="53"/>
  <c r="F149" i="66"/>
  <c r="M4" i="58"/>
  <c r="M59" i="39"/>
  <c r="M60" i="39" s="1"/>
  <c r="M56" i="39"/>
  <c r="E175" i="38"/>
  <c r="F5" i="66"/>
  <c r="E7" i="53"/>
  <c r="H4" i="41"/>
  <c r="K45" i="39" s="1"/>
  <c r="C45" i="39"/>
  <c r="D57" i="39" l="1"/>
  <c r="D58" i="39"/>
  <c r="C59" i="39"/>
  <c r="C60" i="39" s="1"/>
  <c r="E90" i="38"/>
  <c r="C56" i="39"/>
  <c r="D19" i="53"/>
  <c r="F19" i="53" s="1"/>
  <c r="H25" i="53" s="1"/>
  <c r="I452" i="37"/>
  <c r="I444" i="37"/>
  <c r="J53" i="66"/>
  <c r="E58" i="39"/>
  <c r="E57" i="39"/>
  <c r="D37" i="53"/>
  <c r="F37" i="53" s="1"/>
  <c r="J245" i="66"/>
  <c r="J452" i="58"/>
  <c r="J444" i="58"/>
  <c r="M57" i="39"/>
  <c r="M58" i="39"/>
  <c r="K56" i="39"/>
  <c r="K59" i="39"/>
  <c r="K60" i="39" s="1"/>
  <c r="E141" i="38"/>
  <c r="L57" i="39"/>
  <c r="L58" i="39"/>
  <c r="J197" i="66"/>
  <c r="D25" i="53"/>
  <c r="F25" i="53" s="1"/>
  <c r="I444" i="58"/>
  <c r="I452" i="58"/>
  <c r="J452" i="37"/>
  <c r="J444" i="37"/>
  <c r="J101" i="66"/>
  <c r="D31" i="53"/>
  <c r="F31" i="53" s="1"/>
  <c r="H37" i="53" s="1"/>
  <c r="G37" i="53" l="1"/>
  <c r="H31" i="53"/>
  <c r="G31" i="53" s="1"/>
  <c r="H19" i="53"/>
  <c r="G19" i="53" s="1"/>
  <c r="G25" i="53"/>
  <c r="S197" i="66"/>
  <c r="W197" i="66"/>
  <c r="S101" i="66"/>
  <c r="W101" i="66"/>
  <c r="K57" i="39"/>
  <c r="K58" i="39"/>
  <c r="J149" i="66"/>
  <c r="D13" i="53"/>
  <c r="F13" i="53" s="1"/>
  <c r="H7" i="53" s="1"/>
  <c r="H452" i="58"/>
  <c r="H444" i="58"/>
  <c r="S53" i="66"/>
  <c r="W53" i="66"/>
  <c r="I467" i="37"/>
  <c r="F54" i="66"/>
  <c r="I444" i="41"/>
  <c r="I457" i="37"/>
  <c r="F55" i="66"/>
  <c r="I452" i="41"/>
  <c r="J452" i="41"/>
  <c r="F103" i="66"/>
  <c r="J457" i="37"/>
  <c r="C58" i="39"/>
  <c r="C57" i="39"/>
  <c r="I457" i="58"/>
  <c r="F199" i="66"/>
  <c r="H452" i="37"/>
  <c r="D7" i="53"/>
  <c r="F7" i="53" s="1"/>
  <c r="H444" i="37"/>
  <c r="J5" i="66"/>
  <c r="F102" i="66"/>
  <c r="J467" i="37"/>
  <c r="J444" i="41"/>
  <c r="F246" i="66"/>
  <c r="J467" i="58"/>
  <c r="J457" i="58"/>
  <c r="F247" i="66"/>
  <c r="F198" i="66"/>
  <c r="I467" i="58"/>
  <c r="S245" i="66"/>
  <c r="W245" i="66"/>
  <c r="J467" i="41" l="1"/>
  <c r="O3" i="41" s="1"/>
  <c r="L54" i="66"/>
  <c r="P54" i="66" s="1"/>
  <c r="I467" i="41"/>
  <c r="L198" i="66"/>
  <c r="P198" i="66" s="1"/>
  <c r="E378" i="38"/>
  <c r="K199" i="66" s="1"/>
  <c r="N199" i="66" s="1"/>
  <c r="I458" i="58"/>
  <c r="E379" i="38" s="1"/>
  <c r="K218" i="66" s="1"/>
  <c r="N218" i="66" s="1"/>
  <c r="L102" i="66"/>
  <c r="P102" i="66" s="1"/>
  <c r="J458" i="58"/>
  <c r="E385" i="38" s="1"/>
  <c r="K266" i="66" s="1"/>
  <c r="N266" i="66" s="1"/>
  <c r="E384" i="38"/>
  <c r="K247" i="66" s="1"/>
  <c r="N247" i="66" s="1"/>
  <c r="H452" i="41"/>
  <c r="F7" i="66"/>
  <c r="H457" i="37"/>
  <c r="L246" i="66"/>
  <c r="P246" i="66" s="1"/>
  <c r="E366" i="38"/>
  <c r="K103" i="66" s="1"/>
  <c r="N103" i="66" s="1"/>
  <c r="J457" i="41"/>
  <c r="J458" i="37"/>
  <c r="F150" i="66"/>
  <c r="H467" i="58"/>
  <c r="F151" i="66"/>
  <c r="H457" i="58"/>
  <c r="E325" i="38"/>
  <c r="M197" i="66" s="1"/>
  <c r="E319" i="38"/>
  <c r="S149" i="66"/>
  <c r="W149" i="66"/>
  <c r="E307" i="38"/>
  <c r="E313" i="38"/>
  <c r="W5" i="66"/>
  <c r="S5" i="66"/>
  <c r="F6" i="66"/>
  <c r="H444" i="41"/>
  <c r="H467" i="37"/>
  <c r="I457" i="41"/>
  <c r="E360" i="38"/>
  <c r="K55" i="66" s="1"/>
  <c r="N55" i="66" s="1"/>
  <c r="I458" i="37"/>
  <c r="E337" i="38"/>
  <c r="E331" i="38"/>
  <c r="G7" i="53"/>
  <c r="H13" i="53"/>
  <c r="G13" i="53" s="1"/>
  <c r="E349" i="38"/>
  <c r="M245" i="66" s="1"/>
  <c r="E343" i="38"/>
  <c r="N198" i="66" l="1"/>
  <c r="H467" i="41"/>
  <c r="M3" i="41" s="1"/>
  <c r="N246" i="66"/>
  <c r="L245" i="66"/>
  <c r="J464" i="58"/>
  <c r="E301" i="38"/>
  <c r="M149" i="66" s="1"/>
  <c r="E295" i="38"/>
  <c r="E372" i="38"/>
  <c r="K151" i="66" s="1"/>
  <c r="N151" i="66" s="1"/>
  <c r="H458" i="58"/>
  <c r="E373" i="38" s="1"/>
  <c r="K170" i="66" s="1"/>
  <c r="N170" i="66" s="1"/>
  <c r="E289" i="38"/>
  <c r="E283" i="38"/>
  <c r="L101" i="66"/>
  <c r="J464" i="37"/>
  <c r="N102" i="66"/>
  <c r="M101" i="66"/>
  <c r="G18" i="39" s="1"/>
  <c r="D22" i="8"/>
  <c r="M53" i="66"/>
  <c r="F18" i="39" s="1"/>
  <c r="C22" i="8"/>
  <c r="L150" i="66"/>
  <c r="P150" i="66" s="1"/>
  <c r="V150" i="66" s="1"/>
  <c r="X150" i="66" s="1"/>
  <c r="N150" i="66"/>
  <c r="Y247" i="66"/>
  <c r="Z247" i="66"/>
  <c r="Y103" i="66"/>
  <c r="Z103" i="66"/>
  <c r="Z55" i="66"/>
  <c r="Z199" i="66"/>
  <c r="Y55" i="66"/>
  <c r="Y199" i="66"/>
  <c r="O246" i="66"/>
  <c r="E361" i="38"/>
  <c r="K74" i="66" s="1"/>
  <c r="N74" i="66" s="1"/>
  <c r="I458" i="41"/>
  <c r="L53" i="66"/>
  <c r="I464" i="37"/>
  <c r="E367" i="38"/>
  <c r="K122" i="66" s="1"/>
  <c r="N122" i="66" s="1"/>
  <c r="J458" i="41"/>
  <c r="L6" i="66"/>
  <c r="P6" i="66" s="1"/>
  <c r="V6" i="66" s="1"/>
  <c r="X6" i="66" s="1"/>
  <c r="H458" i="37"/>
  <c r="H457" i="41"/>
  <c r="E354" i="38"/>
  <c r="K7" i="66" s="1"/>
  <c r="N7" i="66" s="1"/>
  <c r="N54" i="66"/>
  <c r="O198" i="66" s="1"/>
  <c r="L197" i="66"/>
  <c r="I464" i="58"/>
  <c r="N6" i="66" l="1"/>
  <c r="J464" i="41"/>
  <c r="O150" i="66"/>
  <c r="V198" i="66"/>
  <c r="X198" i="66" s="1"/>
  <c r="Q198" i="66"/>
  <c r="U198" i="66"/>
  <c r="Z102" i="66"/>
  <c r="Z246" i="66"/>
  <c r="Y102" i="66"/>
  <c r="O102" i="66"/>
  <c r="Y246" i="66"/>
  <c r="Z7" i="66"/>
  <c r="Y7" i="66"/>
  <c r="Y151" i="66"/>
  <c r="Z151" i="66"/>
  <c r="Y6" i="66"/>
  <c r="Z150" i="66"/>
  <c r="O6" i="66"/>
  <c r="Y150" i="66"/>
  <c r="Z6" i="66"/>
  <c r="P101" i="66"/>
  <c r="N101" i="66"/>
  <c r="Z122" i="66"/>
  <c r="Y122" i="66"/>
  <c r="Z266" i="66"/>
  <c r="Y266" i="66"/>
  <c r="L5" i="66"/>
  <c r="H464" i="37"/>
  <c r="H458" i="41"/>
  <c r="E355" i="38"/>
  <c r="K26" i="66" s="1"/>
  <c r="N26" i="66" s="1"/>
  <c r="I464" i="41"/>
  <c r="B22" i="8"/>
  <c r="M5" i="66"/>
  <c r="P53" i="66"/>
  <c r="N53" i="66"/>
  <c r="U150" i="66"/>
  <c r="Q150" i="66"/>
  <c r="Z74" i="66"/>
  <c r="Y218" i="66"/>
  <c r="Y74" i="66"/>
  <c r="Z218" i="66"/>
  <c r="H464" i="58"/>
  <c r="L149" i="66"/>
  <c r="U246" i="66"/>
  <c r="Q246" i="66"/>
  <c r="V246" i="66"/>
  <c r="X246" i="66" s="1"/>
  <c r="P197" i="66"/>
  <c r="N197" i="66"/>
  <c r="Y198" i="66"/>
  <c r="Y54" i="66"/>
  <c r="O54" i="66"/>
  <c r="Z54" i="66"/>
  <c r="Z198" i="66"/>
  <c r="P245" i="66"/>
  <c r="N245" i="66"/>
  <c r="O245" i="66" s="1"/>
  <c r="O197" i="66" l="1"/>
  <c r="Q197" i="66" s="1"/>
  <c r="R197" i="66" s="1"/>
  <c r="T197" i="66" s="1"/>
  <c r="N5" i="66"/>
  <c r="R5" i="66"/>
  <c r="T5" i="66" s="1"/>
  <c r="P5" i="66"/>
  <c r="V5" i="66" s="1"/>
  <c r="X5" i="66" s="1"/>
  <c r="V54" i="66"/>
  <c r="X54" i="66" s="1"/>
  <c r="Q54" i="66"/>
  <c r="U54" i="66"/>
  <c r="Z197" i="66"/>
  <c r="Y53" i="66"/>
  <c r="Z53" i="66"/>
  <c r="O53" i="66"/>
  <c r="Y197" i="66"/>
  <c r="Z245" i="66"/>
  <c r="Y101" i="66"/>
  <c r="Y245" i="66"/>
  <c r="Z101" i="66"/>
  <c r="O101" i="66"/>
  <c r="U102" i="66"/>
  <c r="V102" i="66"/>
  <c r="X102" i="66" s="1"/>
  <c r="Q102" i="66"/>
  <c r="V245" i="66"/>
  <c r="X245" i="66" s="1"/>
  <c r="U245" i="66"/>
  <c r="Q245" i="66"/>
  <c r="R245" i="66" s="1"/>
  <c r="T245" i="66" s="1"/>
  <c r="R149" i="66"/>
  <c r="T149" i="66" s="1"/>
  <c r="P149" i="66"/>
  <c r="V149" i="66" s="1"/>
  <c r="X149" i="66" s="1"/>
  <c r="N149" i="66"/>
  <c r="O149" i="66" s="1"/>
  <c r="Z26" i="66"/>
  <c r="Z170" i="66"/>
  <c r="Y170" i="66"/>
  <c r="Y26" i="66"/>
  <c r="U6" i="66"/>
  <c r="Q6" i="66"/>
  <c r="H464" i="41"/>
  <c r="V197" i="66" l="1"/>
  <c r="X197" i="66" s="1"/>
  <c r="U197" i="66"/>
  <c r="V101" i="66"/>
  <c r="X101" i="66" s="1"/>
  <c r="U101" i="66"/>
  <c r="Q101" i="66"/>
  <c r="R101" i="66" s="1"/>
  <c r="T101" i="66" s="1"/>
  <c r="Q149" i="66"/>
  <c r="U149" i="66"/>
  <c r="U53" i="66"/>
  <c r="V53" i="66"/>
  <c r="X53" i="66" s="1"/>
  <c r="Q53" i="66"/>
  <c r="R53" i="66" s="1"/>
  <c r="T53" i="66" s="1"/>
  <c r="Y149" i="66"/>
  <c r="Z5" i="66"/>
  <c r="Y5" i="66"/>
  <c r="O5" i="66"/>
  <c r="Z149" i="66"/>
  <c r="U5" i="66" l="1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<sst xmlns="http://schemas.openxmlformats.org/spreadsheetml/2006/main" count="4029" uniqueCount="339">
  <si>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</si>
  <si>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</si>
  <si>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</si>
  <si>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</si>
  <si>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</si>
  <si>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</si>
  <si>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</si>
  <si>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</si>
  <si>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</si>
  <si>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</si>
  <si>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</si>
  <si>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</si>
  <si>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</si>
  <si>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</si>
  <si>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</si>
  <si>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</si>
  <si>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</si>
  <si>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</si>
  <si>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</si>
  <si>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</si>
  <si>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</si>
  <si>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</si>
  <si>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</si>
  <si>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</si>
  <si>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</si>
  <si>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</si>
  <si>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</si>
  <si>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</si>
  <si>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</si>
  <si>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</si>
  <si>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</si>
  <si>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</si>
  <si>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</si>
  <si>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</si>
  <si>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</si>
  <si>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</si>
  <si>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</si>
  <si>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</si>
  <si>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</si>
  <si>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</si>
  <si>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</si>
  <si>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</si>
  <si>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</si>
  <si>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</si>
  <si>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</si>
  <si>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</si>
  <si>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</si>
  <si>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</si>
  <si>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</si>
  <si>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</si>
  <si>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</si>
  <si>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</si>
  <si>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</si>
  <si>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</si>
  <si>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</si>
  <si>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</si>
  <si>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</si>
  <si>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</si>
  <si>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</si>
  <si>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</si>
  <si>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</si>
  <si>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</si>
  <si>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</si>
  <si>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</si>
  <si>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</si>
  <si>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</si>
  <si>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</si>
  <si>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</si>
  <si>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</si>
  <si>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</si>
  <si>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</si>
  <si>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</si>
  <si>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</si>
  <si>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</si>
  <si>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</si>
  <si>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</si>
  <si>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</si>
  <si>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</si>
  <si>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</si>
  <si>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</si>
  <si>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</si>
  <si>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</si>
  <si>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</si>
  <si>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</si>
  <si>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</si>
  <si>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</si>
  <si>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</si>
  <si>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</si>
  <si>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</si>
  <si>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</si>
  <si>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</si>
  <si>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</si>
  <si>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</si>
  <si>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</si>
  <si>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</si>
  <si>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</si>
  <si>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</si>
  <si>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</si>
  <si>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</si>
  <si>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</si>
  <si>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</si>
  <si>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</si>
  <si>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</si>
  <si>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</si>
  <si>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</si>
  <si>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</si>
  <si>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</si>
  <si>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</si>
  <si>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</si>
  <si>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</si>
  <si>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</si>
  <si>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</si>
  <si>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</si>
  <si>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</si>
  <si>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</si>
  <si>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</si>
  <si>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</si>
  <si>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</si>
  <si>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</si>
  <si>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</si>
  <si>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</si>
  <si>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</si>
  <si>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</si>
  <si>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</si>
  <si>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</si>
  <si>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</si>
  <si>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</si>
  <si>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</si>
  <si>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</si>
  <si>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</si>
  <si>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</si>
  <si>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</si>
  <si>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</si>
  <si>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</si>
  <si>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</si>
  <si>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</si>
  <si>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</si>
  <si>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</si>
  <si>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</si>
  <si>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</si>
  <si>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</si>
  <si>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</si>
  <si>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</si>
  <si>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</si>
  <si>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</si>
  <si>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</si>
  <si>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</si>
  <si>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</si>
  <si>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</si>
  <si>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</si>
  <si>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</si>
  <si>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</si>
  <si>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</si>
  <si>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</si>
  <si>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</si>
  <si>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</si>
  <si>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</si>
  <si>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</si>
  <si>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</si>
  <si>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</si>
  <si>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</si>
  <si>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</si>
  <si>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</si>
  <si>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</si>
  <si>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</si>
  <si>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</si>
  <si>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</si>
  <si>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</si>
  <si>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</si>
  <si>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</si>
  <si>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</si>
  <si>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</si>
  <si>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</si>
  <si>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</si>
  <si>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</si>
  <si>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</si>
  <si>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</si>
  <si>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</si>
  <si>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</si>
  <si>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</si>
  <si>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</si>
  <si>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</si>
  <si>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</si>
  <si>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</si>
  <si>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</si>
  <si>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</si>
  <si>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</si>
  <si>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</si>
  <si>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</si>
  <si>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</si>
  <si>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</si>
  <si>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</si>
  <si>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</si>
  <si>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</si>
  <si>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</si>
  <si>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</si>
  <si>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</si>
  <si>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</si>
  <si>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</si>
  <si>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</si>
  <si>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</si>
  <si>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</si>
  <si>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</si>
  <si>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</si>
  <si>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</si>
  <si>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</si>
  <si>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</si>
  <si>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</si>
  <si>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</si>
  <si>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</si>
  <si>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</si>
  <si>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</si>
  <si>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</si>
  <si>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</si>
  <si>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</si>
  <si>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</si>
  <si>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</si>
  <si>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</si>
  <si>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</si>
  <si>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</si>
  <si>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</si>
  <si>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</si>
  <si>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</si>
  <si>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</si>
  <si>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</si>
  <si>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</si>
  <si>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</si>
  <si>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</si>
  <si>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</si>
  <si>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</si>
  <si>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</si>
  <si>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</si>
  <si>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</si>
  <si>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</si>
  <si>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</si>
  <si>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</si>
  <si>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</si>
  <si>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</si>
  <si>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</si>
  <si>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</si>
  <si>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</si>
  <si>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</si>
  <si>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</si>
  <si>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</si>
  <si>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</si>
  <si>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</si>
  <si>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</si>
  <si>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</si>
  <si>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</si>
  <si>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</si>
  <si>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</si>
  <si>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</si>
  <si>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</si>
  <si>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</si>
  <si>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</si>
  <si>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</si>
  <si>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</si>
  <si>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</si>
  <si>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</si>
  <si>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</si>
  <si>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</si>
  <si>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</si>
  <si>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</si>
  <si>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</si>
  <si>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</si>
  <si>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</si>
  <si>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</si>
  <si>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</si>
  <si>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</si>
  <si>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</si>
  <si>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</si>
  <si>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</si>
  <si>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</si>
  <si>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</si>
  <si>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</si>
  <si>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</si>
  <si>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</si>
  <si>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</si>
  <si>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</si>
  <si>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</si>
  <si>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</si>
  <si>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</si>
  <si>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</si>
  <si>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</si>
  <si>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</si>
  <si>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</si>
  <si>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</si>
  <si>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</si>
  <si>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</si>
  <si>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</si>
  <si>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</si>
  <si>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</si>
  <si>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</si>
  <si>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</si>
  <si>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</si>
  <si>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</si>
  <si>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</si>
  <si>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</si>
  <si>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</si>
  <si>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</si>
  <si>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</si>
  <si>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</si>
  <si>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</si>
  <si>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</si>
  <si>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</si>
  <si>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</si>
  <si>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</si>
  <si>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</si>
  <si>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</si>
  <si>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</si>
  <si>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</si>
  <si>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</si>
  <si>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</si>
  <si>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</si>
  <si>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</si>
  <si>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</si>
  <si>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</si>
  <si>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</si>
  <si>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</si>
  <si>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</si>
  <si>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</si>
  <si>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</si>
  <si>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</si>
  <si>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</si>
  <si>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</si>
  <si>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</si>
  <si>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</si>
  <si>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</si>
  <si>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</si>
  <si>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</si>
  <si>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</si>
  <si>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</si>
  <si>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</si>
  <si>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</si>
  <si>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</si>
  <si>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</si>
  <si>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</si>
  <si>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</si>
  <si>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BAU-scenariet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</si>
</sst>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14694807.846815562</c:v>
                </c:pt>
                <c:pt idx="2">
                  <c:v>13700758.411495024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8.0780032295121842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16.833470821782004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3.1030541716431261</c:v>
                </c:pt>
                <c:pt idx="2">
                  <c:v>3.2056958564820932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975854.69819673605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1472901.7980830062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2494642.5597356395</c:v>
                </c:pt>
                <c:pt idx="2">
                  <c:v>2492925.6927165301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3362.8500000000004</c:v>
                </c:pt>
                <c:pt idx="16">
                  <c:v>4108.0730332886733</c:v>
                </c:pt>
                <c:pt idx="17">
                  <c:v>4242.406254446586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6423924.8458333323</c:v>
                </c:pt>
                <c:pt idx="16">
                  <c:v>2653319.3466675803</c:v>
                </c:pt>
                <c:pt idx="17">
                  <c:v>2602619.4030910656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734735.18150728825</c:v>
                </c:pt>
                <c:pt idx="17">
                  <c:v>708052.01776419138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734735.18150728825</c:v>
                </c:pt>
                <c:pt idx="2">
                  <c:v>708052.01776419138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1351690.9879249944</c:v>
                </c:pt>
                <c:pt idx="2">
                  <c:v>1325862.7147822422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1317.6838031303291</c:v>
                </c:pt>
                <c:pt idx="2">
                  <c:v>1360.771817463999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1-42BE-A1A1-3BE3A5456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14694807.846815562</c:v>
                </c:pt>
                <c:pt idx="2">
                  <c:v>13700758.411495024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13630231.620137766</c:v>
                </c:pt>
                <c:pt idx="2">
                  <c:v>13099114.768305516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1463535.0663842489</c:v>
                </c:pt>
                <c:pt idx="2">
                  <c:v>1392305.7560659221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22886516.421233561</c:v>
                </c:pt>
                <c:pt idx="2">
                  <c:v>21804840.113497604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817248.97986223281</c:v>
                </c:pt>
                <c:pt idx="2">
                  <c:v>1348365.8316944833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306389.73361575109</c:v>
                </c:pt>
                <c:pt idx="2">
                  <c:v>377619.04393407796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4428231.3787664389</c:v>
                </c:pt>
                <c:pt idx="2">
                  <c:v>5509907.6865023999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42184.627494662134</c:v>
                </c:pt>
                <c:pt idx="2">
                  <c:v>115726.15144460165</c:v>
                </c:pt>
                <c:pt idx="3">
                  <c:v>0</c:v>
                </c:pt>
                <c:pt idx="4">
                  <c:v>8858.7341081642226</c:v>
                </c:pt>
                <c:pt idx="5">
                  <c:v>24041.220505714809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211772.75782853554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201411.72229669051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3362.8500000000004</c:v>
                </c:pt>
                <c:pt idx="16">
                  <c:v>4108.0730332886733</c:v>
                </c:pt>
                <c:pt idx="17">
                  <c:v>4242.406254446586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6423924.8458333323</c:v>
                </c:pt>
                <c:pt idx="16">
                  <c:v>2653319.3466675803</c:v>
                </c:pt>
                <c:pt idx="17">
                  <c:v>2602619.4030910656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734735.18150728825</c:v>
                </c:pt>
                <c:pt idx="17">
                  <c:v>708052.01776419138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734735.18150728825</c:v>
                </c:pt>
                <c:pt idx="2">
                  <c:v>708052.01776419138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1351690.9879249944</c:v>
                </c:pt>
                <c:pt idx="2">
                  <c:v>1325862.7147822422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1317.6838031303291</c:v>
                </c:pt>
                <c:pt idx="2">
                  <c:v>1360.771817463999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E-464B-8225-0220F089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8.0780032295121842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16.833470821782004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3.1030541716431261</c:v>
                </c:pt>
                <c:pt idx="2">
                  <c:v>3.2056958564820932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975854.69819673605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1472901.7980830062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2494642.5597356395</c:v>
                </c:pt>
                <c:pt idx="2">
                  <c:v>2492925.6927165301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4513891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249287.826149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474536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4976853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532407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555555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56713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5902777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720361.913629329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6134262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587593.8998603616"/>
  </r>
  <r>
    <x v="1"/>
    <s v="Vestdanmark"/>
    <x v="15"/>
    <x v="1"/>
    <n v="11840949.000738235"/>
  </r>
  <r>
    <x v="1"/>
    <s v="Vestdanmark"/>
    <x v="16"/>
    <x v="1"/>
    <n v="5005.6356813272896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1993.557721309648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178937.5641805995"/>
  </r>
  <r>
    <x v="1"/>
    <s v="Vestdanmark"/>
    <x v="15"/>
    <x v="2"/>
    <n v="11614690.73032544"/>
  </r>
  <r>
    <x v="1"/>
    <s v="Vestdanmark"/>
    <x v="16"/>
    <x v="2"/>
    <n v="5169.3190334894534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1614.661983045924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389214.6969952502"/>
  </r>
  <r>
    <x v="1"/>
    <s v="Østdanmark"/>
    <x v="15"/>
    <x v="1"/>
    <n v="841583.7254715825"/>
  </r>
  <r>
    <x v="1"/>
    <s v="Østdanmark"/>
    <x v="16"/>
    <x v="1"/>
    <n v="420.12115509171275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3940.442278690352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330001.5728813037"/>
  </r>
  <r>
    <x v="1"/>
    <s v="Østdanmark"/>
    <x v="15"/>
    <x v="2"/>
    <n v="825502.64294003148"/>
  </r>
  <r>
    <x v="1"/>
    <s v="Østdanmark"/>
    <x v="16"/>
    <x v="2"/>
    <n v="433.85903842113186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4319.338016954094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87117.71293108177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5722.17739080405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705945.48999946821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55860.68265151768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8502205.9111969229"/>
  </r>
  <r>
    <x v="5"/>
    <s v="Vestdanmark"/>
    <x v="15"/>
    <x v="1"/>
    <n v="2477251.1725228676"/>
  </r>
  <r>
    <x v="5"/>
    <s v="Vestdanmark"/>
    <x v="16"/>
    <x v="1"/>
    <n v="3789.9813015763762"/>
  </r>
  <r>
    <x v="5"/>
    <s v="Vestdanmark"/>
    <x v="20"/>
    <x v="1"/>
    <n v="602593.15019279509"/>
  </r>
  <r>
    <x v="5"/>
    <s v="Vestdanmark"/>
    <x v="37"/>
    <x v="1"/>
    <n v="21249287.826149497"/>
  </r>
  <r>
    <x v="5"/>
    <s v="Vestdanmark"/>
    <x v="38"/>
    <x v="1"/>
    <n v="389347.88943325559"/>
  </r>
  <r>
    <x v="5"/>
    <s v="Vestdanmark"/>
    <x v="14"/>
    <x v="2"/>
    <n v="8139812.5569148706"/>
  </r>
  <r>
    <x v="5"/>
    <s v="Vestdanmark"/>
    <x v="15"/>
    <x v="2"/>
    <n v="2429915.5606865063"/>
  </r>
  <r>
    <x v="5"/>
    <s v="Vestdanmark"/>
    <x v="16"/>
    <x v="2"/>
    <n v="3913.9129824991574"/>
  </r>
  <r>
    <x v="5"/>
    <s v="Vestdanmark"/>
    <x v="20"/>
    <x v="2"/>
    <n v="630997.79814640491"/>
  </r>
  <r>
    <x v="5"/>
    <s v="Vestdanmark"/>
    <x v="37"/>
    <x v="2"/>
    <n v="20673448.784384709"/>
  </r>
  <r>
    <x v="5"/>
    <s v="Vestdanmark"/>
    <x v="38"/>
    <x v="2"/>
    <n v="371711.85601871461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1231945.108656165"/>
  </r>
  <r>
    <x v="5"/>
    <s v="Østdanmark"/>
    <x v="15"/>
    <x v="1"/>
    <n v="176068.17414471263"/>
  </r>
  <r>
    <x v="5"/>
    <s v="Østdanmark"/>
    <x v="16"/>
    <x v="1"/>
    <n v="318.09173171229679"/>
  </r>
  <r>
    <x v="5"/>
    <s v="Østdanmark"/>
    <x v="20"/>
    <x v="1"/>
    <n v="81329.660607366925"/>
  </r>
  <r>
    <x v="5"/>
    <s v="Østdanmark"/>
    <x v="37"/>
    <x v="1"/>
    <n v="3436648.7301143073"/>
  </r>
  <r>
    <x v="5"/>
    <s v="Østdanmark"/>
    <x v="38"/>
    <x v="1"/>
    <n v="345387.29207403271"/>
  </r>
  <r>
    <x v="5"/>
    <s v="Østdanmark"/>
    <x v="14"/>
    <x v="2"/>
    <n v="1179435.3570834203"/>
  </r>
  <r>
    <x v="5"/>
    <s v="Østdanmark"/>
    <x v="15"/>
    <x v="2"/>
    <n v="172703.8424045592"/>
  </r>
  <r>
    <x v="5"/>
    <s v="Østdanmark"/>
    <x v="16"/>
    <x v="2"/>
    <n v="328.49327194742835"/>
  </r>
  <r>
    <x v="5"/>
    <s v="Østdanmark"/>
    <x v="20"/>
    <x v="2"/>
    <n v="85646.055736491384"/>
  </r>
  <r>
    <x v="5"/>
    <s v="Østdanmark"/>
    <x v="37"/>
    <x v="2"/>
    <n v="3410095.0601985683"/>
  </r>
  <r>
    <x v="5"/>
    <s v="Østdanmark"/>
    <x v="38"/>
    <x v="2"/>
    <n v="336340.1617454767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x v="0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5005.6356813272896"/>
    <n v="3789.9813015763762"/>
    <n v="0"/>
    <n v="0"/>
    <n v="1215.654379750913"/>
    <n v="1215.654379750913"/>
    <n v="5005.6356813272896"/>
    <n v="5.7171009825305685E-4"/>
    <n v="2.9258105028244679E-3"/>
    <n v="2.3541004045714111E-3"/>
    <n v="5.7171009825305675E-4"/>
    <n v="76.586225924307513"/>
    <n v="391.94127384792677"/>
    <n v="315.35504792361922"/>
    <n v="76.586225924307541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x v="0"/>
  </r>
  <r>
    <x v="23"/>
    <s v=""/>
    <n v="0"/>
    <x v="1"/>
    <s v="Vestdanmark"/>
    <n v="0"/>
    <n v="0"/>
    <n v="0"/>
    <n v="0"/>
    <n v="0"/>
    <n v="389347.88943325559"/>
    <n v="0"/>
    <n v="0"/>
    <n v="-389347.8894332555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1840949.000738235"/>
    <n v="2477251.1725228676"/>
    <n v="0"/>
    <n v="0"/>
    <n v="1261995.880341839"/>
    <n v="1261995.880341839"/>
    <n v="11840949.000738235"/>
    <n v="0.63880969467023563"/>
    <n v="6.6325796693539232"/>
    <n v="5.9937699746836879"/>
    <n v="0.6388096946702353"/>
    <n v="95911.686905979761"/>
    <n v="995823.81096208561"/>
    <n v="899912.12405610585"/>
    <n v="95911.686905979761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x v="0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5169.3190334894534"/>
    <n v="3913.9129824991574"/>
    <n v="0"/>
    <n v="0"/>
    <n v="1255.4060509902956"/>
    <n v="1255.4060509902956"/>
    <n v="5169.3190334894534"/>
    <n v="5.9040491172022611E-4"/>
    <n v="3.0214839599799811E-3"/>
    <n v="2.4310790482597552E-3"/>
    <n v="5.9040491172022589E-4"/>
    <n v="79.090581212388628"/>
    <n v="404.75768032222419"/>
    <n v="325.66709910983559"/>
    <n v="79.090581212388599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  <x v="0"/>
  </r>
  <r>
    <x v="23"/>
    <s v=""/>
    <n v="0"/>
    <x v="2"/>
    <s v="Vestdanmark"/>
    <n v="0"/>
    <n v="0"/>
    <n v="0"/>
    <n v="0"/>
    <n v="0"/>
    <n v="371711.85601871461"/>
    <n v="0"/>
    <n v="0"/>
    <n v="-371711.85601871461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1614690.73032544"/>
    <n v="2429915.5606865063"/>
    <n v="0"/>
    <n v="0"/>
    <n v="1237881.512047844"/>
    <n v="1237881.512047844"/>
    <n v="11614690.73032544"/>
    <n v="0.6266032425834982"/>
    <n v="6.5058435433669333"/>
    <n v="5.8792403007834348"/>
    <n v="0.62660324258349842"/>
    <n v="94078.99491563614"/>
    <n v="976795.49042036955"/>
    <n v="882716.49550473341"/>
    <n v="94078.99491563614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x v="0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420.12115509171275"/>
    <n v="318.09173171229679"/>
    <n v="0"/>
    <n v="0"/>
    <n v="102.02942337941602"/>
    <n v="102.02942337941602"/>
    <n v="420.12115509171275"/>
    <n v="4.7983417521105557E-5"/>
    <n v="2.4556219554918715E-4"/>
    <n v="1.9757877802808159E-4"/>
    <n v="4.7983417521105557E-5"/>
    <n v="6.4278536729032094"/>
    <n v="32.895486443681108"/>
    <n v="26.467632770777904"/>
    <n v="6.4278536729032041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x v="0"/>
  </r>
  <r>
    <x v="23"/>
    <s v=""/>
    <n v="0"/>
    <x v="1"/>
    <s v="Østdanmark"/>
    <n v="0"/>
    <n v="0"/>
    <n v="0"/>
    <n v="0"/>
    <n v="0"/>
    <n v="345387.29207403271"/>
    <n v="0"/>
    <n v="0"/>
    <n v="-345387.2920740327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841583.7254715825"/>
    <n v="176068.17414471263"/>
    <n v="0"/>
    <n v="0"/>
    <n v="89695.107583155506"/>
    <n v="89695.107583155506"/>
    <n v="841583.7254715825"/>
    <n v="4.540276650751749E-2"/>
    <n v="0.47140403250397789"/>
    <n v="0.42600126599646038"/>
    <n v="4.5402766507517511E-2"/>
    <n v="6816.8281763198183"/>
    <n v="70777.191312160081"/>
    <n v="63960.363135840271"/>
    <n v="6816.8281763198102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x v="0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433.85903842113186"/>
    <n v="328.49327194742835"/>
    <n v="0"/>
    <n v="0"/>
    <n v="105.3657664737035"/>
    <n v="105.3657664737035"/>
    <n v="433.85903842113186"/>
    <n v="4.9552466314918024E-5"/>
    <n v="2.5359203349399211E-4"/>
    <n v="2.040395671790741E-4"/>
    <n v="4.9552466314918011E-5"/>
    <n v="6.6380432878433204"/>
    <n v="33.971162708374628"/>
    <n v="27.333119420531307"/>
    <n v="6.6380432878433204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  <x v="0"/>
  </r>
  <r>
    <x v="23"/>
    <s v=""/>
    <n v="0"/>
    <x v="2"/>
    <s v="Østdanmark"/>
    <n v="0"/>
    <n v="0"/>
    <n v="0"/>
    <n v="0"/>
    <n v="0"/>
    <n v="336340.16174547671"/>
    <n v="0"/>
    <n v="0"/>
    <n v="-336340.1617454767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825502.64294003148"/>
    <n v="172703.8424045592"/>
    <n v="0"/>
    <n v="0"/>
    <n v="87981.20273439819"/>
    <n v="87981.20273439819"/>
    <n v="825502.64294003148"/>
    <n v="4.4535205012125025E-2"/>
    <n v="0.46239638784193965"/>
    <n v="0.4178611828298146"/>
    <n v="4.4535205012125045E-2"/>
    <n v="6686.5714078142619"/>
    <n v="69424.772271256646"/>
    <n v="62738.200863442391"/>
    <n v="6686.5714078142555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n v="0"/>
    <x v="1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5005.6356813272896"/>
    <n v="3789.9813015763762"/>
    <n v="0"/>
    <n v="0"/>
    <n v="1215.654379750913"/>
    <n v="1215.654379750913"/>
    <n v="5005.6356813272896"/>
    <n v="5.7171009825305685E-4"/>
    <n v="2.9258105028244679E-3"/>
    <n v="2.3541004045714111E-3"/>
    <n v="5.7171009825305675E-4"/>
    <n v="76.586225924307513"/>
    <n v="391.94127384792677"/>
    <n v="315.35504792361922"/>
    <n v="76.586225924307541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n v="0"/>
    <x v="0"/>
  </r>
  <r>
    <x v="23"/>
    <s v=""/>
    <n v="0"/>
    <x v="1"/>
    <s v="Vestdanmark"/>
    <n v="0"/>
    <n v="0"/>
    <n v="0"/>
    <n v="0"/>
    <n v="0"/>
    <n v="389347.88943325559"/>
    <n v="0"/>
    <n v="0"/>
    <n v="-389347.8894332555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1840949.000738235"/>
    <n v="2477251.1725228676"/>
    <n v="0"/>
    <n v="0"/>
    <n v="1261995.880341839"/>
    <n v="1261995.880341839"/>
    <n v="11840949.000738235"/>
    <n v="0.63880969467023563"/>
    <n v="6.6325796693539232"/>
    <n v="5.9937699746836879"/>
    <n v="0.6388096946702353"/>
    <n v="95911.686905979761"/>
    <n v="995823.81096208561"/>
    <n v="899912.12405610585"/>
    <n v="95911.686905979761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n v="0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n v="0"/>
    <x v="1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5169.3190334894534"/>
    <n v="3913.9129824991574"/>
    <n v="0"/>
    <n v="0"/>
    <n v="1255.4060509902956"/>
    <n v="1255.4060509902956"/>
    <n v="5169.3190334894534"/>
    <n v="5.9040491172022611E-4"/>
    <n v="3.0214839599799811E-3"/>
    <n v="2.4310790482597552E-3"/>
    <n v="5.9040491172022589E-4"/>
    <n v="79.090581212388628"/>
    <n v="404.75768032222419"/>
    <n v="325.66709910983559"/>
    <n v="79.090581212388599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  <n v="0"/>
    <x v="0"/>
  </r>
  <r>
    <x v="23"/>
    <s v=""/>
    <n v="0"/>
    <x v="2"/>
    <s v="Vestdanmark"/>
    <n v="0"/>
    <n v="0"/>
    <n v="0"/>
    <n v="0"/>
    <n v="0"/>
    <n v="371711.85601871461"/>
    <n v="0"/>
    <n v="0"/>
    <n v="-371711.8560187146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1614690.73032544"/>
    <n v="2429915.5606865063"/>
    <n v="0"/>
    <n v="0"/>
    <n v="1237881.512047844"/>
    <n v="1237881.512047844"/>
    <n v="11614690.73032544"/>
    <n v="0.6266032425834982"/>
    <n v="6.5058435433669333"/>
    <n v="5.8792403007834348"/>
    <n v="0.62660324258349842"/>
    <n v="94078.99491563614"/>
    <n v="976795.49042036955"/>
    <n v="882716.49550473341"/>
    <n v="94078.99491563614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  <n v="0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1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n v="0"/>
    <x v="1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420.12115509171275"/>
    <n v="318.09173171229679"/>
    <n v="0"/>
    <n v="0"/>
    <n v="102.02942337941602"/>
    <n v="102.02942337941602"/>
    <n v="420.12115509171275"/>
    <n v="4.7983417521105557E-5"/>
    <n v="2.4556219554918715E-4"/>
    <n v="1.9757877802808159E-4"/>
    <n v="4.7983417521105557E-5"/>
    <n v="6.4278536729032094"/>
    <n v="32.895486443681108"/>
    <n v="26.467632770777904"/>
    <n v="6.4278536729032041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n v="0"/>
    <x v="0"/>
  </r>
  <r>
    <x v="23"/>
    <s v=""/>
    <n v="0"/>
    <x v="1"/>
    <s v="Østdanmark"/>
    <n v="0"/>
    <n v="0"/>
    <n v="0"/>
    <n v="0"/>
    <n v="0"/>
    <n v="345387.29207403271"/>
    <n v="0"/>
    <n v="0"/>
    <n v="-345387.2920740327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841583.7254715825"/>
    <n v="176068.17414471263"/>
    <n v="0"/>
    <n v="0"/>
    <n v="89695.107583155506"/>
    <n v="89695.107583155506"/>
    <n v="841583.7254715825"/>
    <n v="4.540276650751749E-2"/>
    <n v="0.47140403250397789"/>
    <n v="0.42600126599646038"/>
    <n v="4.5402766507517511E-2"/>
    <n v="6816.8281763198183"/>
    <n v="70777.191312160081"/>
    <n v="63960.363135840271"/>
    <n v="6816.8281763198102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n v="0"/>
    <x v="1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433.85903842113186"/>
    <n v="328.49327194742835"/>
    <n v="0"/>
    <n v="0"/>
    <n v="105.3657664737035"/>
    <n v="105.3657664737035"/>
    <n v="433.85903842113186"/>
    <n v="4.9552466314918024E-5"/>
    <n v="2.5359203349399211E-4"/>
    <n v="2.040395671790741E-4"/>
    <n v="4.9552466314918011E-5"/>
    <n v="6.6380432878433204"/>
    <n v="33.971162708374628"/>
    <n v="27.333119420531307"/>
    <n v="6.6380432878433204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  <n v="0"/>
    <x v="0"/>
  </r>
  <r>
    <x v="23"/>
    <s v=""/>
    <n v="0"/>
    <x v="2"/>
    <s v="Østdanmark"/>
    <n v="0"/>
    <n v="0"/>
    <n v="0"/>
    <n v="0"/>
    <n v="0"/>
    <n v="336340.16174547671"/>
    <n v="0"/>
    <n v="0"/>
    <n v="-336340.1617454767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825502.64294003148"/>
    <n v="172703.8424045592"/>
    <n v="0"/>
    <n v="0"/>
    <n v="87981.20273439819"/>
    <n v="87981.20273439819"/>
    <n v="825502.64294003148"/>
    <n v="4.4535205012125025E-2"/>
    <n v="0.46239638784193965"/>
    <n v="0.4178611828298146"/>
    <n v="4.4535205012125045E-2"/>
    <n v="6686.5714078142619"/>
    <n v="69424.772271256646"/>
    <n v="62738.200863442391"/>
    <n v="6686.5714078142555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1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2720361.913629329"/>
    <s v="CO2 - atmosfære"/>
    <x v="0"/>
  </r>
  <r>
    <s v="Vestdanmark"/>
    <x v="1"/>
    <n v="6069868.2390794745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470463.02636426751"/>
    <s v="Biogasanlæg"/>
    <x v="5"/>
  </r>
  <r>
    <s v="Vestdanmark"/>
    <x v="1"/>
    <n v="0"/>
    <s v="Pyrolyseproces"/>
    <x v="6"/>
  </r>
  <r>
    <s v="Vestdanmark"/>
    <x v="2"/>
    <n v="11891278.656630801"/>
    <s v="CO2 - atmosfære"/>
    <x v="0"/>
  </r>
  <r>
    <s v="Vestdanmark"/>
    <x v="2"/>
    <n v="6044724.7524874648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458603.85583869618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974445.9331862326"/>
    <s v="CO2 - atmosfære"/>
    <x v="0"/>
  </r>
  <r>
    <s v="Østdanmark"/>
    <x v="1"/>
    <n v="538912.0191669655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42446.11029341945"/>
    <s v="Biogasanlæg"/>
    <x v="5"/>
  </r>
  <r>
    <s v="Østdanmark"/>
    <x v="1"/>
    <n v="0"/>
    <s v="Pyrolyseproces"/>
    <x v="6"/>
  </r>
  <r>
    <s v="Østdanmark"/>
    <x v="2"/>
    <n v="1809479.7548642238"/>
    <s v="CO2 - atmosfære"/>
    <x v="0"/>
  </r>
  <r>
    <s v="Østdanmark"/>
    <x v="2"/>
    <n v="537552.33932666946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41219.261693019056"/>
    <s v="Biogasanlæg"/>
    <x v="5"/>
  </r>
  <r>
    <s v="Østdanmark"/>
    <x v="2"/>
    <n v="0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</r>
  <r>
    <x v="4"/>
    <x v="10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5005.6356813272896"/>
    <n v="3789.9813015763762"/>
    <n v="0"/>
    <n v="0"/>
    <n v="1215.654379750913"/>
    <n v="1215.654379750913"/>
    <n v="5005.6356813272896"/>
    <n v="5.7171009825305685E-4"/>
    <n v="2.9258105028244679E-3"/>
    <n v="2.3541004045714111E-3"/>
    <n v="5.7171009825305675E-4"/>
    <n v="76.586225924307513"/>
    <n v="391.94127384792677"/>
    <n v="315.35504792361922"/>
    <n v="76.586225924307541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</r>
  <r>
    <x v="23"/>
    <x v="10"/>
    <n v="0"/>
    <x v="1"/>
    <s v="Vestdanmark"/>
    <n v="0"/>
    <n v="0"/>
    <n v="0"/>
    <n v="0"/>
    <n v="0"/>
    <n v="389347.88943325559"/>
    <n v="0"/>
    <n v="0"/>
    <n v="-389347.88943325559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1840949.000738235"/>
    <n v="2477251.1725228676"/>
    <n v="0"/>
    <n v="0"/>
    <n v="1261995.880341839"/>
    <n v="1261995.880341839"/>
    <n v="11840949.000738235"/>
    <n v="0.63880969467023563"/>
    <n v="6.6325796693539232"/>
    <n v="5.9937699746836879"/>
    <n v="0.6388096946702353"/>
    <n v="95911.686905979761"/>
    <n v="995823.81096208561"/>
    <n v="899912.12405610585"/>
    <n v="95911.686905979761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</r>
  <r>
    <x v="4"/>
    <x v="10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5169.3190334894534"/>
    <n v="3913.9129824991574"/>
    <n v="0"/>
    <n v="0"/>
    <n v="1255.4060509902956"/>
    <n v="1255.4060509902956"/>
    <n v="5169.3190334894534"/>
    <n v="5.9040491172022611E-4"/>
    <n v="3.0214839599799811E-3"/>
    <n v="2.4310790482597552E-3"/>
    <n v="5.9040491172022589E-4"/>
    <n v="79.090581212388628"/>
    <n v="404.75768032222419"/>
    <n v="325.66709910983559"/>
    <n v="79.090581212388599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</r>
  <r>
    <x v="23"/>
    <x v="10"/>
    <n v="0"/>
    <x v="2"/>
    <s v="Vestdanmark"/>
    <n v="0"/>
    <n v="0"/>
    <n v="0"/>
    <n v="0"/>
    <n v="0"/>
    <n v="371711.85601871461"/>
    <n v="0"/>
    <n v="0"/>
    <n v="-371711.85601871461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1614690.73032544"/>
    <n v="2429915.5606865063"/>
    <n v="0"/>
    <n v="0"/>
    <n v="1237881.512047844"/>
    <n v="1237881.512047844"/>
    <n v="11614690.73032544"/>
    <n v="0.6266032425834982"/>
    <n v="6.5058435433669333"/>
    <n v="5.8792403007834348"/>
    <n v="0.62660324258349842"/>
    <n v="94078.99491563614"/>
    <n v="976795.49042036955"/>
    <n v="882716.49550473341"/>
    <n v="94078.99491563614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</r>
  <r>
    <x v="4"/>
    <x v="10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420.12115509171275"/>
    <n v="318.09173171229679"/>
    <n v="0"/>
    <n v="0"/>
    <n v="102.02942337941602"/>
    <n v="102.02942337941602"/>
    <n v="420.12115509171275"/>
    <n v="4.7983417521105557E-5"/>
    <n v="2.4556219554918715E-4"/>
    <n v="1.9757877802808159E-4"/>
    <n v="4.7983417521105557E-5"/>
    <n v="6.4278536729032094"/>
    <n v="32.895486443681108"/>
    <n v="26.467632770777904"/>
    <n v="6.4278536729032041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</r>
  <r>
    <x v="23"/>
    <x v="10"/>
    <n v="0"/>
    <x v="1"/>
    <s v="Østdanmark"/>
    <n v="0"/>
    <n v="0"/>
    <n v="0"/>
    <n v="0"/>
    <n v="0"/>
    <n v="345387.29207403271"/>
    <n v="0"/>
    <n v="0"/>
    <n v="-345387.29207403271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841583.7254715825"/>
    <n v="176068.17414471263"/>
    <n v="0"/>
    <n v="0"/>
    <n v="89695.107583155506"/>
    <n v="89695.107583155506"/>
    <n v="841583.7254715825"/>
    <n v="4.540276650751749E-2"/>
    <n v="0.47140403250397789"/>
    <n v="0.42600126599646038"/>
    <n v="4.5402766507517511E-2"/>
    <n v="6816.8281763198183"/>
    <n v="70777.191312160081"/>
    <n v="63960.363135840271"/>
    <n v="6816.8281763198102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</r>
  <r>
    <x v="4"/>
    <x v="10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433.85903842113186"/>
    <n v="328.49327194742835"/>
    <n v="0"/>
    <n v="0"/>
    <n v="105.3657664737035"/>
    <n v="105.3657664737035"/>
    <n v="433.85903842113186"/>
    <n v="4.9552466314918024E-5"/>
    <n v="2.5359203349399211E-4"/>
    <n v="2.040395671790741E-4"/>
    <n v="4.9552466314918011E-5"/>
    <n v="6.6380432878433204"/>
    <n v="33.971162708374628"/>
    <n v="27.333119420531307"/>
    <n v="6.6380432878433204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</r>
  <r>
    <x v="23"/>
    <x v="10"/>
    <n v="0"/>
    <x v="2"/>
    <s v="Østdanmark"/>
    <n v="0"/>
    <n v="0"/>
    <n v="0"/>
    <n v="0"/>
    <n v="0"/>
    <n v="336340.16174547671"/>
    <n v="0"/>
    <n v="0"/>
    <n v="-336340.16174547671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825502.64294003148"/>
    <n v="172703.8424045592"/>
    <n v="0"/>
    <n v="0"/>
    <n v="87981.20273439819"/>
    <n v="87981.20273439819"/>
    <n v="825502.64294003148"/>
    <n v="4.4535205012125025E-2"/>
    <n v="0.46239638784193965"/>
    <n v="0.4178611828298146"/>
    <n v="4.4535205012125045E-2"/>
    <n v="6686.5714078142619"/>
    <n v="69424.772271256646"/>
    <n v="62738.200863442391"/>
    <n v="6686.5714078142555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8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0">
      <pivotArea outline="0" collapsedLevelsAreSubtotals="1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0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I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8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2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31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1">
      <pivotArea outline="0" collapsedLevelsAreSubtotals="1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319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9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3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8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31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9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3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5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3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4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8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3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2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ht="30" x14ac:dyDescent="0.25">
      <c r="A2" s="6" t="s">
        <v>0</v>
      </c>
      <c r="B2" s="227" t="s">
        <v>338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312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313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opLeftCell="A99" zoomScale="60" zoomScaleNormal="60" workbookViewId="0">
      <selection activeCell="AF215" sqref="AF2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1900*11</f>
        <v>20900</v>
      </c>
      <c r="D5" s="9">
        <f>C5+1900*(D2-C2)</f>
        <v>58900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2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D22*Arealanvendelse!N26-C22*Arealanvendelse!N26</f>
        <v>0</v>
      </c>
      <c r="E24" s="10">
        <f>E22*Arealanvendelse!Q26-C22*Arealanvendelse!Q26</f>
        <v>0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D23*Arealanvendelse!O26-C23*Arealanvendelse!O26</f>
        <v>0</v>
      </c>
      <c r="E25" s="10">
        <f>E23*Arealanvendelse!R26-C23*Arealanvendelse!R26</f>
        <v>0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333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246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245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324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326</v>
      </c>
    </row>
  </sheetData>
  <conditionalFormatting sqref="C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1</v>
      </c>
      <c r="D13" s="8">
        <v>1</v>
      </c>
    </row>
    <row r="14" spans="1:4" x14ac:dyDescent="0.25">
      <c r="A14" s="2" t="s">
        <v>179</v>
      </c>
      <c r="B14" s="7">
        <v>0</v>
      </c>
      <c r="C14" s="8">
        <v>0</v>
      </c>
      <c r="D14" s="8">
        <v>0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25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38349.661358783756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36770.761974969762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8053.3946437856575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7591.2431987752934</v>
      </c>
    </row>
    <row r="23" spans="1:13" x14ac:dyDescent="0.25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3834.9661358783751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36770.761974969762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805.33946437856571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7591.2431987752934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38349.661358783756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8053.3946437856575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3834.9661358783751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805.33946437856571</v>
      </c>
    </row>
    <row r="26" spans="1:13" x14ac:dyDescent="0.25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0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0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0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0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0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0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0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0</v>
      </c>
    </row>
    <row r="30" spans="1:13" x14ac:dyDescent="0.25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25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25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25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25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25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25">
      <c r="A49" s="2" t="s">
        <v>178</v>
      </c>
      <c r="B49" s="109">
        <f t="shared" si="0"/>
        <v>0</v>
      </c>
      <c r="C49" s="109">
        <f t="shared" si="0"/>
        <v>42184.627494662134</v>
      </c>
      <c r="D49" s="109">
        <f t="shared" si="0"/>
        <v>115726.15144460165</v>
      </c>
      <c r="E49" s="109">
        <f t="shared" si="0"/>
        <v>0</v>
      </c>
      <c r="F49" s="109">
        <f t="shared" si="0"/>
        <v>8858.7341081642226</v>
      </c>
      <c r="G49" s="109">
        <f t="shared" si="0"/>
        <v>24041.220505714809</v>
      </c>
    </row>
    <row r="50" spans="1:7" x14ac:dyDescent="0.25">
      <c r="A50" s="2" t="s">
        <v>179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</row>
    <row r="51" spans="1:7" x14ac:dyDescent="0.25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25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25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327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329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211772.75782853554</v>
      </c>
      <c r="J5" s="10">
        <f>SUMIFS('Resultat-Produktion &amp; forbrug'!$N$3:$N$1000,'Resultat-Produktion &amp; forbrug'!$A$3:$A$1000,Adfærd!$G5,'Resultat-Produktion &amp; forbrug'!$D$3:$D$1000,Adfærd!J$4)</f>
        <v>201411.72229669051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F10" sqref="F10:G10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335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0.89469856663830138</v>
      </c>
      <c r="AC3" s="126">
        <f>SUM(E12:E14)/SUM(E12:E15)</f>
        <v>0.88782160204184191</v>
      </c>
    </row>
    <row r="4" spans="1:29" x14ac:dyDescent="0.2">
      <c r="A4" s="180" t="s">
        <v>137</v>
      </c>
      <c r="B4" s="235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0.36572991465890953</v>
      </c>
      <c r="AC5" s="147">
        <f t="shared" si="0"/>
        <v>0.35614057204854455</v>
      </c>
    </row>
    <row r="6" spans="1:29" x14ac:dyDescent="0.2">
      <c r="A6" s="180" t="s">
        <v>141</v>
      </c>
      <c r="B6" s="235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0.42256194691635995</v>
      </c>
      <c r="AC6" s="147">
        <f t="shared" si="0"/>
        <v>0.42158942273481931</v>
      </c>
    </row>
    <row r="7" spans="1:29" x14ac:dyDescent="0.2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336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10976808.596855611</v>
      </c>
      <c r="E12" s="133">
        <f>SUMIFS('Resultater - Danmark'!J$3:J$482,'Resultater - Danmark'!$F$3:$F$482,$A12)*D3</f>
        <v>10508939.137061905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9734151.0198530871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9319247.9139982928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0.36572991465890953</v>
      </c>
      <c r="L12" s="134">
        <f t="shared" ref="L12:L28" si="3">E12/E$29</f>
        <v>0.35614057204854455</v>
      </c>
      <c r="M12" s="125" t="s">
        <v>214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12682532.726209817</v>
      </c>
      <c r="E13" s="136">
        <f>SUMIFS('Resultater - Danmark'!J$3:J$482,'Resultater - Danmark'!$F$3:$F$482,$A13)*D4</f>
        <v>12440193.373265473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4005010.3345925752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3928482.1178733073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0.42256194691635995</v>
      </c>
      <c r="L13" s="137">
        <f t="shared" si="3"/>
        <v>0.42158942273481931</v>
      </c>
      <c r="M13" s="125" t="s">
        <v>215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5425.7568364190029</v>
      </c>
      <c r="E14" s="136">
        <f>SUMIFS('Resultater - Danmark'!J$3:J$482,'Resultater - Danmark'!$F$3:$F$482,$A14)*D5</f>
        <v>5603.1780719105845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5425.756836419002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5603.1780719105855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1.8077764290359879E-4</v>
      </c>
      <c r="L14" s="137">
        <f t="shared" si="3"/>
        <v>1.8988777247576721E-4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2785221.7345641684</v>
      </c>
      <c r="E15" s="136">
        <f>SUMIFS('Resultater - Danmark'!J$3:J$482,'Resultater - Danmark'!$F$3:$F$482,$A15)*D6</f>
        <v>2900386.1464459291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9.2799186421096025E-2</v>
      </c>
      <c r="L15" s="137">
        <f t="shared" si="3"/>
        <v>9.8292050975348808E-2</v>
      </c>
      <c r="M15" s="139" t="s">
        <v>301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1806588.5568306167</v>
      </c>
      <c r="E16" s="136">
        <f>SUMIFS('Resultater - Danmark'!J$3:J$482,'Resultater - Danmark'!$F$3:$F$482,$A16)*D7</f>
        <v>1893021.5008227446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6.0192675574455512E-2</v>
      </c>
      <c r="L16" s="137">
        <f t="shared" si="3"/>
        <v>6.4153170116436189E-2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1.2127738140975156E-2</v>
      </c>
      <c r="L18" s="137">
        <f t="shared" si="3"/>
        <v>1.2531483015821646E-2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2.4188106437526485E-2</v>
      </c>
      <c r="L19" s="137">
        <f t="shared" si="3"/>
        <v>2.450304704699199E-2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1462839.8903218857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1361806.1726509868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2.5300008736296037E-3</v>
      </c>
      <c r="L20" s="137">
        <f t="shared" si="3"/>
        <v>2.573349968557809E-3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1103365.8104808959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805319.3268698972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1.2614353659179918E-4</v>
      </c>
      <c r="L21" s="137">
        <f t="shared" si="3"/>
        <v>1.2830488293728585E-4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2080969.6515073944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1690263.2545151263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2.8546222357568882E-3</v>
      </c>
      <c r="L22" s="137">
        <f t="shared" si="3"/>
        <v>2.9035334007971054E-3</v>
      </c>
      <c r="M22" s="165" t="s">
        <v>302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420587.66554026771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218583.82382291742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1.099594474570658E-2</v>
      </c>
      <c r="L23" s="137">
        <f t="shared" si="3"/>
        <v>1.118434952357652E-2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1614896.5629563844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1541397.3989281263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9.5440612933758251E-4</v>
      </c>
      <c r="L24" s="137">
        <f t="shared" si="3"/>
        <v>9.7075894657648002E-4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2.5988367285156726E-6</v>
      </c>
      <c r="L25" s="137">
        <f t="shared" si="3"/>
        <v>2.6433652586128626E-6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4.7559378500228733E-3</v>
      </c>
      <c r="L26" s="137">
        <f t="shared" si="3"/>
        <v>4.8374262018579129E-3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30013428.371296629</v>
      </c>
      <c r="E29" s="145">
        <f>SUM(E12:E28)</f>
        <v>29507840.335667964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0.99999999999999978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9.8352805761487513E-2</v>
      </c>
      <c r="E30" s="149">
        <f>SUMPRODUCT(E12:E28,$H$12:$H$28)/E29</f>
        <v>9.9747401334403782E-2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1.4931116647392851E-2</v>
      </c>
      <c r="E31" s="149">
        <f>SUM(E21:E24)/E29</f>
        <v>1.5186946753887392E-2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679300435.56666172</v>
      </c>
      <c r="E32" s="125">
        <f>SUMPRODUCT(E12:E28,$I$12:$I$28)</f>
        <v>677305596.23549116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24.386885636843157</v>
      </c>
      <c r="E33" s="125">
        <f>E32*[1]Energiindhold!$C$10</f>
        <v>24.315270904854135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9587593.8998603616</v>
      </c>
      <c r="E39" s="133">
        <f>SUMIFS('Resultater - Vestdanmark'!J$3:J$482,'Resultater - Vestdanmark'!$F$3:$F$482,$A39)*D3</f>
        <v>9178937.5641805995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1389214.6969952502</v>
      </c>
      <c r="M39" s="133">
        <f>SUMIFS('Resultater - Østdanmark'!J$3:J$482,'Resultater - Østdanmark'!$F$3:$F$482,$A39)*D3</f>
        <v>1330001.5728813037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11840949.000738235</v>
      </c>
      <c r="E40" s="136">
        <f>SUMIFS('Resultater - Vestdanmark'!J$3:J$482,'Resultater - Vestdanmark'!$F$3:$F$482,$A40)*D4</f>
        <v>11614690.73032544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841583.7254715825</v>
      </c>
      <c r="M40" s="136">
        <f>SUMIFS('Resultater - Østdanmark'!J$3:J$482,'Resultater - Østdanmark'!$F$3:$F$482,$A40)*D4</f>
        <v>825502.64294003148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5005.6356813272896</v>
      </c>
      <c r="E41" s="136">
        <f>SUMIFS('Resultater - Vestdanmark'!J$3:J$482,'Resultater - Vestdanmark'!$F$3:$F$482,$A41)*D5</f>
        <v>5169.3190334894534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420.12115509171275</v>
      </c>
      <c r="M41" s="136">
        <f>SUMIFS('Resultater - Østdanmark'!J$3:J$482,'Resultater - Østdanmark'!$F$3:$F$482,$A41)*D5</f>
        <v>433.85903842113186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1516336.6800324824</v>
      </c>
      <c r="E42" s="136">
        <f>SUMIFS('Resultater - Vestdanmark'!J$3:J$482,'Resultater - Vestdanmark'!$F$3:$F$482,$A42)*D6</f>
        <v>1572264.2235564108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1268885.054531686</v>
      </c>
      <c r="M42" s="136">
        <f>SUMIFS('Resultater - Østdanmark'!J$3:J$482,'Resultater - Østdanmark'!$F$3:$F$482,$A42)*D6</f>
        <v>1328121.9228895183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1591755.4910753078</v>
      </c>
      <c r="E43" s="136">
        <f>SUMIFS('Resultater - Vestdanmark'!J$3:J$482,'Resultater - Vestdanmark'!$F$3:$F$482,$A43)*D7</f>
        <v>1666786.636613145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214833.06575530887</v>
      </c>
      <c r="M43" s="136">
        <f>SUMIFS('Resultater - Østdanmark'!J$3:J$482,'Resultater - Østdanmark'!$F$3:$F$482,$A43)*D7</f>
        <v>226234.86420959991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534945.77839568327</v>
      </c>
      <c r="E46" s="136">
        <f>SUMIFS('Resultater - Vestdanmark'!J$3:J$482,'Resultater - Vestdanmark'!$F$3:$F$482,$A46)/SUMIFS('Resultater - Danmark'!J$3:J$482,'Resultater - Danmark'!$F$3:$F$482,$A46)*E19</f>
        <v>531600.61023474101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191022.2216043165</v>
      </c>
      <c r="M46" s="136">
        <f>SUMIFS('Resultater - Østdanmark'!J$3:J$482,'Resultater - Østdanmark'!$F$3:$F$482,$A46)/SUMIFS('Resultater - Danmark'!J$3:J$482,'Resultater - Danmark'!$F$3:$F$482,$A46)*E19</f>
        <v>191431.38976525888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51993.557721309648</v>
      </c>
      <c r="E47" s="136">
        <f>SUMIFS('Resultater - Vestdanmark'!J$3:J$482,'Resultater - Vestdanmark'!$F$3:$F$482,$A47)/SUMIFS('Resultater - Danmark'!J$3:J$482,'Resultater - Danmark'!$F$3:$F$482,$A47)*E20</f>
        <v>51614.661983045924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23940.442278690352</v>
      </c>
      <c r="M47" s="136">
        <f>SUMIFS('Resultater - Østdanmark'!J$3:J$482,'Resultater - Østdanmark'!$F$3:$F$482,$A47)/SUMIFS('Resultater - Danmark'!J$3:J$482,'Resultater - Danmark'!$F$3:$F$482,$A47)*E20</f>
        <v>24319.338016954094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25835113.715763703</v>
      </c>
      <c r="E56" s="145">
        <f ca="1">SUM(E39:E55)</f>
        <v>25329695.241443336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4178314.6555329356</v>
      </c>
      <c r="M56" s="145">
        <f ca="1">SUM(M39:M55)</f>
        <v>4178145.094224629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9.6445051627924924E-2</v>
      </c>
      <c r="E57" s="149">
        <f ca="1">SUMPRODUCT(E39:E55,$F$39:$F$55)/E56</f>
        <v>9.7860468274876003E-2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0.11014872087215088</v>
      </c>
      <c r="M57" s="149">
        <f ca="1">SUMPRODUCT(M39:M55,$N$39:$N$55)/M56</f>
        <v>0.11118679328010478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1.5375044661646605E-2</v>
      </c>
      <c r="E58" s="149">
        <f ca="1">SUM(E48:E51)/E56</f>
        <v>1.5669829473744894E-2</v>
      </c>
      <c r="I58" s="148" t="s">
        <v>161</v>
      </c>
      <c r="K58" s="149">
        <f ca="1">SUM(K48:K51)/K56</f>
        <v>1.8896340963997331E-2</v>
      </c>
      <c r="L58" s="149">
        <f ca="1">SUM(L48:L51)/L56</f>
        <v>1.2186246603995853E-2</v>
      </c>
      <c r="M58" s="149">
        <f ca="1">SUM(M48:M51)/M56</f>
        <v>1.2259506022291719E-2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564672636.4994185</v>
      </c>
      <c r="E59" s="125">
        <f ca="1">SUMPRODUCT(E39:E55,$I$12:$I$28)</f>
        <v>561658711.83836484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114627799.06724329</v>
      </c>
      <c r="M59" s="125">
        <f ca="1">SUMPRODUCT(M39:M55,$I$12:$I$28)</f>
        <v>115646884.39712636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20.271747650329125</v>
      </c>
      <c r="E60" s="125">
        <f ca="1">E59*[1]Energiindhold!$C$10</f>
        <v>20.1635477549973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4.1151379865140347</v>
      </c>
      <c r="M60" s="125">
        <f ca="1">M59*[1]Energiindhold!$C$10</f>
        <v>4.1517231498568368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8" priority="7" operator="greaterThan">
      <formula>13%</formula>
    </cfRule>
  </conditionalFormatting>
  <conditionalFormatting sqref="K57:M57">
    <cfRule type="cellIs" dxfId="17" priority="5" operator="greaterThan">
      <formula>13%</formula>
    </cfRule>
  </conditionalFormatting>
  <conditionalFormatting sqref="C58:E58">
    <cfRule type="cellIs" dxfId="16" priority="2" operator="greaterThan">
      <formula>13%</formula>
    </cfRule>
  </conditionalFormatting>
  <conditionalFormatting sqref="K58:M58">
    <cfRule type="cellIs" dxfId="15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25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104203.4407339669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25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25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25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25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38349.661358783756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36770.761974969762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3834.9661358783751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36770.761974969762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38349.661358783756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3834.9661358783751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0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0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0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0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0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0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8053.3946437856575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7591.2431987752934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805.33946437856571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7591.2431987752934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8053.3946437856575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805.33946437856571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0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0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0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0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0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0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9587593.8998603616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11840949.000738235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5005.6356813272896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51993.557721309648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9178937.5641805995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11614690.73032544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5169.3190334894534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51614.661983045924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1389214.6969952502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841583.7254715825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420.12115509171275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23940.442278690352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1330001.5728813037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825502.64294003148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433.85903842113186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24319.338016954094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7055058.2423947481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927703.07225151139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77398.170570230373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1009401.1411867546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6788464.5437639551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256918.92730951472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14685227.891109958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1818857.0084004137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47298.882015140785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5794113.0468547465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7055058.2423947481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927703.07225151139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77398.170570230373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1009401.1411867546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6788464.5437639551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256918.92730951472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14685227.891109958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1818857.0084004137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47298.882015140785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5794113.0468547465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865945.92924660386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113867.33764129503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9499.9401044881142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123895.05219603248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833223.91333114496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31534.523402398045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1802481.6912140569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223248.59245547064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5805.5189527427374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711176.07171098527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865945.92924660421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113867.33764129507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9499.9401044881179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123895.05219603253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833223.91333114507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31534.523402398052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1802481.6912140576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223248.59245547073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5805.5189527427383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711176.0717109855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787117.71293108177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675722.17739080405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705945.48999946821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2001135.6433479721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655860.68265151768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585110.82295504375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8502205.9111969229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2477251.1725228676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3789.9813015763762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602593.15019279509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21249287.826149497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389347.88943325559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8139812.5569148706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2429915.5606865063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3913.9129824991574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630997.79814640491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20673448.784384709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371711.85601871461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1231945.108656165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176068.17414471263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318.09173171229679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81329.660607366925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3436648.7301143073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345387.29207403271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1179435.3570834203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172703.8424045592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328.49327194742835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85646.055736491384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3410095.0601985683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336340.16174547671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979696.62997282099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1766814.3429039028</v>
      </c>
      <c r="F14">
        <f>E14-D14</f>
        <v>787117.71293108177</v>
      </c>
      <c r="G14">
        <f t="shared" si="3"/>
        <v>787117.71293108177</v>
      </c>
      <c r="H14">
        <f t="shared" si="1"/>
        <v>675722.17739080405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137807.77991998539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813529.95731078938</v>
      </c>
      <c r="F20">
        <f t="shared" si="2"/>
        <v>675722.17739080405</v>
      </c>
      <c r="G20">
        <f t="shared" si="3"/>
        <v>675722.17739080405</v>
      </c>
      <c r="H20">
        <f t="shared" si="1"/>
        <v>787117.71293108177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979317.73423455725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1685263.2242340255</v>
      </c>
      <c r="F26">
        <f t="shared" si="2"/>
        <v>705945.48999946821</v>
      </c>
      <c r="G26">
        <f t="shared" si="3"/>
        <v>705945.48999946821</v>
      </c>
      <c r="H26">
        <f t="shared" si="1"/>
        <v>655860.68265151768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138186.67565824918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794047.35830976686</v>
      </c>
      <c r="F32">
        <f t="shared" si="2"/>
        <v>655860.68265151768</v>
      </c>
      <c r="G32">
        <f t="shared" si="3"/>
        <v>655860.68265151768</v>
      </c>
      <c r="H32">
        <f t="shared" si="1"/>
        <v>705945.48999946821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-95874.153396959387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-91926.904937424406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-21092.313747331063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-202239.19086233369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-536895.25902297255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7321.608646632094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3824.72093480781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-55607.008970236442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16769175.782578632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16054415.645754507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18089799.811057284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17318750.121095471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2318981.8130105999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2220138.8060882147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189546.11196473631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181467.00261082608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-10349049719.146797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-9907937508.9127178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-794805.85707031749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-760928.48882551759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1355216.4663992226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1297452.4641901131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375002.99262656202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618711.35296623153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406473.58355707221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670634.17031999258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12431.621883020149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20510.731236930402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-678755536.70520175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-1119867746.9392815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-45820.580785679682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-75598.632781679669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97771.947711369561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161312.35014139008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481065.37486712751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457823.86708769068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13959739.787479933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13285308.789490851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273571.81190809683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260354.85278595501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5225553.5272675268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4973093.5721327448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59529.546880978167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56653.521086515728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-3621884990.6382861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-3446902394.5422864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-15148.831416153258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-14416.952337753261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3917554.1194708925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3728286.9859358799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29987.091045692679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36958.4728489626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1620456.2661230082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1997179.0135689403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13378.856005001349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16489.16480953716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618964.31517391291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762860.78572858695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12371.097980583076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15247.123775045524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-752679911.76171374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-927662507.8577137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-3795.0247651851114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-4677.2899555851109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680810.24994210899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839084.62809683185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113924205.03110938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108474887.02791204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7251.1507410633913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6904.3076249197729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160711.95619344505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153024.64728508043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237416.28640431259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226059.99172222996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10027.042857470176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9547.4209443997897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-394523640.24563581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-375652455.01427585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-9350.722642185523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-8903.4510441695238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15234.004703521403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14505.319029840177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1562240.6107206421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1943846.3831069556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2760.1206215911884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3434.3304420591335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10392.961476399914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12931.631937509816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19134.053419152198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23807.895069273163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1963.5049692894995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2443.1268823598866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-77255990.538364232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-96127175.769724235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-3448.9281490341177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-4291.3917754341173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3281.4508523602508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4083.0050934096021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6190253.4102852456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5793245.2516373703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1873822.0444380245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1753645.6008920954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-131800059.83531512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-123347142.70950602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1872956.5855112667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1752835.6476501822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191617.21389798366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182756.30227264334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58003.531632365382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55321.287395030558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-2762382.5645685927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-2634642.330368889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339809.05922039697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324095.34549922252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110411.12509434081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105305.40832697245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33422.024340591037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31876.497203453881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-1049474.7555877077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-1000944.1310518599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429777.69437219301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409903.5813376407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647292.97220843995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823343.03727815941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195938.96406869288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249230.238429816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-13781867.528444225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-17530245.433563128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292311.14340349252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371813.62222882651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20036.736412800718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25973.547201778707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6065.2247816733525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7862.328420687677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-288852.60458408005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-374438.56149788154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53033.783808963693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68747.497530138106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11545.302040211707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14966.132274348505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3494.8232388513984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4530.3264207332932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-109739.87473168573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-142255.3931707037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67075.131491613938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86949.244526166192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156066.48455516712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146057.25495610951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-1412368.9664854561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-1321787.5370105102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16056.476819546213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15026.704389566385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2232.6116080389106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2129.3694527538742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-16416.29193287465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-15657.157045805299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1346.2785807074283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1284.0229237961021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649.01322662288487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619.00105429350299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-3985.5442542268311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-3801.2416297539135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859.02521151149961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819.30150230865559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13883.602296555038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17659.649917420516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-125643.69013994894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-159816.12947490715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2505.9241279060566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3187.4827493019607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198.61209622958864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257.46012474205929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-1460.3857389996581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-1893.092624629186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210.11284207572581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272.36849898705196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57.735916518648544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74.842854746396256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-354.55217382977418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-459.6046697793368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134.0675185595982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173.79122776244208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17590.199746367791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16466.68082020347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-15050715.736581037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-14089398.399302948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3259.1169139894369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3050.9510268336935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1564.8160352404641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1990.9714082609653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-1338904.7120577004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-1703536.3519157206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508.64830449546128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647.17142993441996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1915319.6810098316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1792481.8116398426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-6310245.9419409037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-5905542.1348459134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95650.471037593452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89515.985926314766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72613.735813088992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69255.875197454821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-159489.66162561686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-152114.41715738023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21254.24936242116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20271.393900575091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70770.557160842567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67497.930240109956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-99926.538685694788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-95305.658284044155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45468.456349525382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43365.868772668713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170385.9531256723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216727.34631645365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-561356.56096225721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-714033.73084955127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14928.108196618632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18988.239438915254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6459.684359326242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8373.6649102377196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-14188.126545770194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-18392.015892665062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3317.1371837304705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4299.9926455765344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6295.7160387593467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8161.1133835769297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-8889.4186726753924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-11523.320501616248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7096.2330718912444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9198.8206487479092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9706983.0977967456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9084431.6075331569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-28285536.874246053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-26471461.073705673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414920.4249824229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388309.75446706591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1148953.3187971469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1095822.529488608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-2339984.3074096511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-2231776.9405930196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287848.5682215945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274537.65177204093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1343973.4969403241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1281824.4334979968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-1894961.6388756847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-1807333.35499704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739065.61784139404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704889.17308572261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1181670.8904023094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1503060.5023373044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-3443314.488853306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-4379823.5594676668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64756.366904771217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82368.73579604429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139866.80285472781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181308.81851538789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-284855.89314478182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-369257.63926175417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44924.343017243067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58235.259466796568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163607.40951192615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212083.67899694125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-230681.45731053135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-299031.51873587392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115345.50105039099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149521.94580606234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235506.24741957022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220402.19667380178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64841.735128432185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60683.149661785515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129405.40857858877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121106.07096286195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9044.9727754724281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8626.7081384563608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2490.3446739830588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2375.184226631241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29129.860772961158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27782.81518808434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3500.6437552504149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3338.7642752388351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963.82927265854448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919.2591328824268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24746.265403608839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23601.929431187622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20950.526865821888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26648.629234196032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5768.2907724079278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7337.1444591067948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20196.219835964726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25689.166567879809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804.63659545965697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1043.0474385588145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221.53991059305937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287.18136558359544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4546.2788489592567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5893.3244338360719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311.41564967227674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403.68695327887724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85.741806394306352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111.14678606669339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3862.1339069216106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5006.4698793428288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357713.78823913552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334772.03077314643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-554410.37624314951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-518853.60206620558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9337.4796277003261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8738.6260190183275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3644.6597614787634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3476.1205817572022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-3661.2294398580066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-3491.9240322345149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557.61202106142127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531.82649407592203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1464.1762324734386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1396.4686610295801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-900.5098784663644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-858.86780316156148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491.69873757141369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468.96122369527893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31822.053184972803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40476.981902571344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-49320.090695850115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-62734.117340732126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1457.2945083694151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1853.6479434281302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324.22724698935355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420.29457943064347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-325.701277915692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-422.20536026108226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87.026153576059968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112.81168056155921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130.25244056512264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168.84575628812195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-80.108942367614731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-103.84492529135242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76.739109331954737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99.476623208089478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23519.392486831781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22010.990474048354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-361785.91892090446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-338582.99781643564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5079.7181647026664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4753.9335123864967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837.45428405102405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798.72807438392476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-10735.083395517202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-10238.663354106002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817.5298440890889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779.72499580751264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545.21505998444229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520.00280287533519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-5990.5316613096429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-5713.512856162376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1219.5735893528029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1163.1771227931356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2092.2742796089083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2661.3288482258463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-32184.308047356764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-40937.76246325994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792.78838408654349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1008.410138991075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74.49954584708243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96.573485357329062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-954.98805466479621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-1237.94747826918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127.59136295032026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165.39621123189659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48.502079613644888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62.873066165835958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-532.91492640205433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-690.81564533599624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190.33807463887675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246.73454119854389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1459831.5682514813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1366206.1535173119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-6493726.0115491785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-6077254.8211572887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103916.11676096088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97251.51946021714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51980.17769845092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49576.470059216197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-169517.52355815461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-161678.56293118792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21686.979413400197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20684.113313358568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33841.101826802747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32276.195383944818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-81668.213198204001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-77891.648426032712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30991.058283535054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29557.945761753086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129865.94124503061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165186.74401618406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-577678.86310833448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-734795.3556490175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16218.122269051699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20629.110188530907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4624.1325709778021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5994.2459253415936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-15080.200506127167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-19548.408063498176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3384.673087640494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4387.5391876821213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3010.4887694479439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3902.4854418769628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-7265.1664804645052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-9417.8084006021345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4836.7547610141419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6269.8672827961082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6710302.9454768263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6279941.7244116589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-22501409.864215739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-21058295.551265214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319758.3054296819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299250.79989847407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257719.30945372739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245801.65352523138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-585135.82092668954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-558077.51706880797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71979.332397902472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68650.808356380978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99744.19090493265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95131.742770600511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-149316.29200879825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-142411.49237833358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61147.551544305163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58319.919102950007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869236.35264818312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1105650.3460252041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-2914778.0061102584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-3707536.2773591173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49904.475413880995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63477.44240270662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33384.333669699605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43275.988090351333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-75797.073681890819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-98255.465883932528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11233.768640135069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14562.292681656569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12920.620336297921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16748.9522877936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-19342.069964839127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-25073.053658124791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9543.2594895736383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12370.891930928788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451441.13545098307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422488.23125718813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223614.96541461936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209273.55484847655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-16749109.291028244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-15674915.296389058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217613.4597451961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203656.95211549423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11040.127852267429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10529.601708809974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5468.5707924944063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5215.6889061362835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-282822.13551892119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-269743.65526371094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31191.759666056147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29749.366155487074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5167.3499072444192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4928.3973103776243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2559.5735081593152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2441.2117274351849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-89989.163254311061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-85827.814664516321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32045.293130228685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30563.42986409094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38750.872031486135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49290.293646671955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19194.695008133516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24415.248065655596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-1437712.5605304597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-1828740.1179120571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33962.79429549304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43199.959539650292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947.66415379289776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1228.4535326944972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469.41200155226551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608.49703904923297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-24276.928973733986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-31470.093114099611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4868.0780981706121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6310.4716087396828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443.55575793398629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574.97968621072289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219.70905546916669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284.80803486743821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-7724.5033198064702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-10013.245044193571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5001.2885232148819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6483.1517893526234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736415.03033559409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689185.49774353788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113459.86366142625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106183.1839252107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-7211432.0123787876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-6748931.1816871213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109310.61565366659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102300.04542899334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61528.349822365715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58683.108212082909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9479.706272394822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9041.3383522840795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-451892.77781543118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-430996.00196269451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53529.860664432512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51054.491385152403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51634.443157600996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49246.723242798631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7955.3466992998574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7587.4693952859916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-288935.11014406267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-275573.94898133143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98603.186022128328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94043.501119370951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65511.140559912092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83328.791999900495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10093.337004331503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12838.51223823002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-641525.65705496829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-816007.13378580625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17060.038281208082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21700.009636453131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5473.5335477815506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7095.3212656427513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843.3102863130423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1093.1800007761658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-40200.172546702233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-52111.33478276214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8354.3713175703924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10829.740596850508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4593.3761861010362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5954.37653753838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707.70396359667518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917.39402688457903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-25703.533786804186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-33319.395649560982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15388.936546806157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19948.621449563536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694714.65751396539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650159.55311273877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-1425720.3792264217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-1334282.6649701726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25477.550173223743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23843.562901503257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24736.683417900706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23592.790543084491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-38458.773970616763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-36680.333555790559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4100.3569382292126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3910.7450566926018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16104.535603146036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15359.817193752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-19315.14131507387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-18421.955589521323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6116.8250491891858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5833.9660873769699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61801.494677109411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78610.200512722033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-126831.42564332155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-161326.90403730265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3976.2650559366539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5057.7254639552357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2200.5639179276986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2852.5828565729425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-3421.2747480219195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-4434.9857844728576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639.94010018606218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829.55198172267308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1432.6520400717775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1857.1415334263781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-1718.2660395317159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-2227.3819030966688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954.64899611623139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1237.5079579284481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124652.84920250821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116658.31410805255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-572100.76313091454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-535409.42668994272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9371.4603976714352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8770.4274528586666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19817.929570663597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18901.493521153145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-75796.185857948469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-72291.159922320789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6734.2980653214199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6422.8854380233197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18543.97088299767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17686.446217887948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-60791.802201724771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-57980.62059702073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14438.911386684913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13771.216062445146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11089.059822119083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14105.050705791806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-50893.819332859966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-64735.867045238512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1462.5978655325364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1860.3937021215352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1762.9938502457387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2285.3623984666979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-6742.7936436637401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-8740.6584269715131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1051.0176171310889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1362.4302444291889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1649.6630745048212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2138.4521336173607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-5408.0106120493883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-7010.384126730688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2253.471719309206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2921.1670435489705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1698756.0515123385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1589807.3595440446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-5745687.0769171445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-5377190.9111893093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225885.29448860063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211398.27774037674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316706.07375540736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302060.70618290291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-892660.05044181552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-851380.9729647371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190345.37263749584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181543.2744808486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387774.80162457289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369843.0188904886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-936833.69262420165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-893511.90336990345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534026.95160675643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509332.06367118395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265123.77682562516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337231.86414570647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-896725.72876741574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-1140616.2538886415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35253.774284348081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44842.05891462537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49428.115557202313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64073.483129706685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-139316.88648513885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-180595.96396221698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29707.081278684323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38509.17943533152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60519.766727534494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78451.549461618793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-146211.03873325692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-189532.82798755527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83345.246782557369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108040.13471812992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605932.0339558397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551646.84040095157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656426.37011882639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597617.41043436422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3753212.2579404083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3683495.3348211222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146112.946061036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143398.85894653329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19199.241112420132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18842.610065574474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1945192.6384399957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1909060.1640936765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1653615.6309381565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1608181.0498602674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31680.679018030081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30810.223784953552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147475.80238640774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143423.77168762282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145514.43959342825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141516.29910659679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127401.76624978184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123345.7388852182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61790.889060368267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59823.682919613537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8156.190870123798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7896.5262333324472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83833.252994183829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81164.294955265126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217954.6674762161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208390.50149991471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803.922197366418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768.64492885605512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6348799935.9413967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6348799935.9413967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176295832.96552476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176295832.96552476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83848018.117749572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83848018.117749572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153721366.54920757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153721366.54920757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1798432491.1666028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1798432491.1666028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259068876.49202111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259068876.49202111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2442342271.3272696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2442342271.3272696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175220858.37427154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175220858.37427154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130071925.54163715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130071925.54163715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4306348212.560318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4306348212.560318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8350165.3700423287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8289314.7144771749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115051126.79832435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110147250.7701672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-122027.06055262838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-116825.84615618468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166957380.91040912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163767139.29758871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-348435.96581163915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-341778.0096825115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65573.827425387499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67718.079338711832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95505329.464518473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100007198.1967887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54882762.13450513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54539564.607033253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21077079.852451507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21854472.70743411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23750220.038901571</v>
      </c>
      <c r="J452" s="288">
        <f ca="1">SUMIFS('Forbrug af biomasse'!$E$1:$E$425,'Forbrug af biomasse'!$A$1:$A$425,"Biogas",'Forbrug af biomasse'!$B$1:$B$425,$A$1,'Forbrug af biomasse'!$D$1:$D$425,J$2)*'[1]Processer - data'!J452</f>
        <v>23285588.83545886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45061691.329343691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43141006.551648811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19818009.380182941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19439324.485492051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26529.869111034634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27397.390877494101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8436304.1026991308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8833969.174049668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148745014.78304648</v>
      </c>
      <c r="J457" s="288">
        <f ca="1">J452*'[1]Processer - data'!J$457*Biogasanlæg!AC$3</f>
        <v>144714141.49069297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62295662.309320897</v>
      </c>
      <c r="J458" s="288">
        <f ca="1">-SUMIFS('Resultater - Vestdanmark'!J$3:J$482,'Resultater - Vestdanmark'!$F$3:$F$482,"Gødning",'Resultater - Vestdanmark'!$A$3:$A$482,"&lt;&gt;Gødning")-SUM(J453:J457)</f>
        <v>59473896.962994337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8.1354962469580183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7.2965158706198192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20.254858027682651</v>
      </c>
      <c r="J467" s="288">
        <f ca="1">SUM(J433:J451)*'[1]Processer - data'!$H$467</f>
        <v>20.147083876572687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2429805.1937717511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2326238.5119458893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2621159.8056514151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2509436.929964724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336013.77471212432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321691.70815966208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27464.684805178709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26294.045167088971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-1499547448.498282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-1435631561.7928421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-115165.07576693177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-110256.34284053177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196366.95633919063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187997.119061526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54336.851791522888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89649.490134435415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58896.84962835523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97172.956577699704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1801.3061470647906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2971.9457851545299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-98349719.137718022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-162265605.84315798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-6639.2699687928462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-10954.023796792844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14166.873162667429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23373.694168098507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34191.245173914635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32539.378021934186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992174.68263977661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944240.16727062978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19443.845644067296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18504.463361724534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371401.04267443361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353457.70134583977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4231.0035991714303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4026.5929136338805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-257421889.36553466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-244985174.61353469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-1076.6881927244478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-1024.6706119244479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278436.27992953156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264984.30582341959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2131.3028032395187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2626.7868619340466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115172.32455967399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141947.52080835906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950.88894298378523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1171.9510614782669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43992.275810456726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54219.574970689922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879.26353926733168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1083.674224804882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-53495979.434465297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-65932694.186465286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-269.72762740066537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-332.43375220066531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48387.914385054581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59637.109091141487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9561616.4774268474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9104257.2288292181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608.58640520796155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579.47599049411485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13488.495162543615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12843.302163345441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19926.261284624048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18973.131663705783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841.56600592184452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801.3115157922316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-33112223.502257422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-31528371.891377427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-784.80269989116607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-747.26335976316614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1278.584391706858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1217.426072081694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131118.27781543761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163146.30943640703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231.65590497546393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288.24208634814886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872.27742054352598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1085.3470952897908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1605.914040853497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1998.187845375347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164.79624731848045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205.05073744809346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-6484066.7697425745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-8067918.3806225751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-289.46726650636492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-360.17492770636494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275.4109588144704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342.685110402151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266755.84485045663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261800.78357255683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10384.832962122258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10191.931907913244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1364.5670512228648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1339.2198526998002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138252.64067231142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135684.56083605965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239604.1344339604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233020.79470926209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4590.438994634248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4464.3125425236767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21368.818315234308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20781.690756618176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21084.62250483537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20505.303482464293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9054.9543846077213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8766.6762558976552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4391.7262554195477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4251.9090268677046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579.69318993841989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561.23778299506876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5958.3654459493264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5768.671896101212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18292.854791513339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17490.137871374405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67.472893287329939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64.512085162531633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779258975.79314995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779258975.79315019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21638752.460222926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21638752.460222933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10291601.779862123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10291601.779862126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18867936.596413892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18867936.596413899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220741663.81678632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220741663.81678635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31798410.627522714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31798410.627522722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299775887.74162489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299775887.74162501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21506808.84766059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21506808.847660597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15965177.120042527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15965177.120042531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528566111.92471373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528566111.92471385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3844835.0299576703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3905685.6855228273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16670576.363943003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15960018.874575645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-17681.369040183239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-16927.728079037806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11866330.529149313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11639587.265454443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-24764.741253236207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-24291.533613981253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5503.5871317014371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5683.5534033168269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12889983.945318531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13574091.852575995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19597924.825494852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19639903.432966735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17637502.257990435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18460894.728164304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3841124.6628314275</v>
      </c>
      <c r="J452" s="288">
        <f ca="1">SUMIFS('Forbrug af biomasse'!$E$1:$E$425,'Forbrug af biomasse'!$A$1:$A$425,"Biogas",'Forbrug af biomasse'!$B$1:$B$425,$A$1,'Forbrug af biomasse'!$D$1:$D$425,J$2)*'[1]Processer - data'!J452</f>
        <v>3840968.7851207014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6529309.0758776739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6251007.3925421275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1408545.393157701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1381630.7392364736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2226.6421219860777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2299.4529036319987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1138615.2485031369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1199044.7803108795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24056541.110800151</v>
      </c>
      <c r="J457" s="288">
        <f ca="1">J452*'[1]Processer - data'!J$457*Biogasanlæg!AC$3</f>
        <v>23870665.421389978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55261966.73184523</v>
      </c>
      <c r="J458" s="288">
        <f ca="1">-SUMIFS('Resultater - Østdanmark'!J$3:J$482,'Resultater - Østdanmark'!$F$3:$F$482,"Gødning",'Resultater - Østdanmark'!$A$3:$A$482,"&lt;&gt;Gødning")-SUM(J453:J457)</f>
        <v>53814425.879276276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6.9841335645695484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6.778849001338549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4.1136141711545013</v>
      </c>
      <c r="J467" s="288">
        <f ca="1">SUM(J433:J451)*'[1]Processer - data'!$H$467</f>
        <v>4.1502433783620569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14694807.846815564</v>
      </c>
      <c r="O3" s="98">
        <f>SUMIF($F$3:$F$487,$L$3,J$3:J$487)</f>
        <v>13700758.411495036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-116007.64000642353</v>
      </c>
      <c r="J16" s="282">
        <f>'Resultater - Vestdanmark'!J16+'Resultater - Østdanmark'!J16</f>
        <v>-110905.01293436263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-25521.680801413175</v>
      </c>
      <c r="J19" s="282">
        <f>'Resultater - Vestdanmark'!J19+'Resultater - Østdanmark'!J19</f>
        <v>-243991.02845559781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-649642.78403597174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8859.1399251234579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4627.9089161092688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-67284.431203725646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0</v>
      </c>
      <c r="J28" s="282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0</v>
      </c>
      <c r="J29" s="282">
        <f>'Resultater - Vestdanmark'!J29+'Resultater - Østdanmark'!J29</f>
        <v>0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0</v>
      </c>
      <c r="J30" s="282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0</v>
      </c>
      <c r="J31" s="282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0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0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19198980.976350382</v>
      </c>
      <c r="J74" s="282">
        <f>'Resultater - Vestdanmark'!J74+'Resultater - Østdanmark'!J74</f>
        <v>18380654.157700397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20710959.6167087</v>
      </c>
      <c r="J75" s="282">
        <f>'Resultater - Vestdanmark'!J75+'Resultater - Østdanmark'!J75</f>
        <v>19828187.051060196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2654995.5877227243</v>
      </c>
      <c r="J76" s="282">
        <f>'Resultater - Vestdanmark'!J76+'Resultater - Østdanmark'!J76</f>
        <v>2541830.5142478766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217010.79676991503</v>
      </c>
      <c r="J77" s="282">
        <f>'Resultater - Vestdanmark'!J77+'Resultater - Østdanmark'!J77</f>
        <v>207761.04777791505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-11848597167.645079</v>
      </c>
      <c r="J78" s="282">
        <f>'Resultater - Vestdanmark'!J78+'Resultater - Østdanmark'!J78</f>
        <v>-11343569070.705561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-909970.93283724925</v>
      </c>
      <c r="J79" s="282">
        <f>'Resultater - Vestdanmark'!J79+'Resultater - Østdanmark'!J79</f>
        <v>-871184.83166604931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1551583.4227384133</v>
      </c>
      <c r="J80" s="282">
        <f>'Resultater - Vestdanmark'!J80+'Resultater - Østdanmark'!J80</f>
        <v>1485449.583251639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429339.84441808489</v>
      </c>
      <c r="J81" s="282">
        <f>'Resultater - Vestdanmark'!J81+'Resultater - Østdanmark'!J81</f>
        <v>708360.843100667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465370.43318542745</v>
      </c>
      <c r="J83" s="282">
        <f>'Resultater - Vestdanmark'!J83+'Resultater - Østdanmark'!J83</f>
        <v>767807.12689769233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14232.928030084939</v>
      </c>
      <c r="J84" s="282">
        <f>'Resultater - Vestdanmark'!J84+'Resultater - Østdanmark'!J84</f>
        <v>23482.677022084932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-777105255.84291983</v>
      </c>
      <c r="J85" s="282">
        <f>'Resultater - Vestdanmark'!J85+'Resultater - Østdanmark'!J85</f>
        <v>-1282133352.7824395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-52459.850754472529</v>
      </c>
      <c r="J86" s="282">
        <f>'Resultater - Vestdanmark'!J86+'Resultater - Østdanmark'!J86</f>
        <v>-86552.65657847251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111938.82087403699</v>
      </c>
      <c r="J87" s="282">
        <f>'Resultater - Vestdanmark'!J87+'Resultater - Østdanmark'!J87</f>
        <v>184686.04430948858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515256.62004104216</v>
      </c>
      <c r="J88" s="282">
        <f>'Resultater - Vestdanmark'!J88+'Resultater - Østdanmark'!J88</f>
        <v>490363.24510962487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14951914.470119709</v>
      </c>
      <c r="J89" s="282">
        <f>'Resultater - Vestdanmark'!J89+'Resultater - Østdanmark'!J89</f>
        <v>14229548.956761481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293015.65755216411</v>
      </c>
      <c r="J90" s="282">
        <f>'Resultater - Vestdanmark'!J90+'Resultater - Østdanmark'!J90</f>
        <v>278859.31614767952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5596954.5699419603</v>
      </c>
      <c r="J91" s="282">
        <f>'Resultater - Vestdanmark'!J91+'Resultater - Østdanmark'!J91</f>
        <v>5326551.2734785844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63760.550480149599</v>
      </c>
      <c r="J92" s="282">
        <f>'Resultater - Vestdanmark'!J92+'Resultater - Østdanmark'!J92</f>
        <v>60680.11400014961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-3879306880.0038209</v>
      </c>
      <c r="J93" s="282">
        <f>'Resultater - Vestdanmark'!J93+'Resultater - Østdanmark'!J93</f>
        <v>-3691887569.1558208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-16225.519608877707</v>
      </c>
      <c r="J94" s="282">
        <f>'Resultater - Vestdanmark'!J94+'Resultater - Østdanmark'!J94</f>
        <v>-15441.622949677709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4195990.3994004242</v>
      </c>
      <c r="J95" s="282">
        <f>'Resultater - Vestdanmark'!J95+'Resultater - Østdanmark'!J95</f>
        <v>3993271.2917592996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32118.393848932199</v>
      </c>
      <c r="J96" s="282">
        <f>'Resultater - Vestdanmark'!J96+'Resultater - Østdanmark'!J96</f>
        <v>39585.259710896644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1735628.5906826821</v>
      </c>
      <c r="J97" s="282">
        <f>'Resultater - Vestdanmark'!J97+'Resultater - Østdanmark'!J97</f>
        <v>2139126.5343772992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14329.744947985135</v>
      </c>
      <c r="J98" s="282">
        <f>'Resultater - Vestdanmark'!J98+'Resultater - Østdanmark'!J98</f>
        <v>17661.115871015427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662956.59098436963</v>
      </c>
      <c r="J99" s="282">
        <f>'Resultater - Vestdanmark'!J99+'Resultater - Østdanmark'!J99</f>
        <v>817080.36069927691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13250.361519850407</v>
      </c>
      <c r="J100" s="282">
        <f>'Resultater - Vestdanmark'!J100+'Resultater - Østdanmark'!J100</f>
        <v>16330.797999850405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-806175891.19617903</v>
      </c>
      <c r="J101" s="282">
        <f>'Resultater - Vestdanmark'!J101+'Resultater - Østdanmark'!J101</f>
        <v>-993595202.04417896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-4064.7523925857768</v>
      </c>
      <c r="J102" s="282">
        <f>'Resultater - Vestdanmark'!J102+'Resultater - Østdanmark'!J102</f>
        <v>-5009.7237077857762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729198.1643271636</v>
      </c>
      <c r="J103" s="282">
        <f>'Resultater - Vestdanmark'!J103+'Resultater - Østdanmark'!J103</f>
        <v>898721.73718797334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123485821.50853622</v>
      </c>
      <c r="J104" s="282">
        <f>'Resultater - Vestdanmark'!J104+'Resultater - Østdanmark'!J104</f>
        <v>117579144.25674126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7859.7371462713527</v>
      </c>
      <c r="J105" s="282">
        <f>'Resultater - Vestdanmark'!J105+'Resultater - Østdanmark'!J105</f>
        <v>7483.7836154138877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174200.45135598865</v>
      </c>
      <c r="J106" s="282">
        <f>'Resultater - Vestdanmark'!J106+'Resultater - Østdanmark'!J106</f>
        <v>165867.94944842588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257342.54768893664</v>
      </c>
      <c r="J107" s="282">
        <f>'Resultater - Vestdanmark'!J107+'Resultater - Østdanmark'!J107</f>
        <v>245033.12338593573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10868.608863392021</v>
      </c>
      <c r="J108" s="282">
        <f>'Resultater - Vestdanmark'!J108+'Resultater - Østdanmark'!J108</f>
        <v>10348.732460192021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-427635863.74789321</v>
      </c>
      <c r="J109" s="282">
        <f>'Resultater - Vestdanmark'!J109+'Resultater - Østdanmark'!J109</f>
        <v>-407180826.9056533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-10135.525342076689</v>
      </c>
      <c r="J110" s="282">
        <f>'Resultater - Vestdanmark'!J110+'Resultater - Østdanmark'!J110</f>
        <v>-9650.7144039326904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16512.589095228261</v>
      </c>
      <c r="J111" s="282">
        <f>'Resultater - Vestdanmark'!J111+'Resultater - Østdanmark'!J111</f>
        <v>15722.745101921872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1693358.8885360798</v>
      </c>
      <c r="J112" s="282">
        <f>'Resultater - Vestdanmark'!J112+'Resultater - Østdanmark'!J112</f>
        <v>2106992.6925433627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2991.7765265666521</v>
      </c>
      <c r="J113" s="282">
        <f>'Resultater - Vestdanmark'!J113+'Resultater - Østdanmark'!J113</f>
        <v>3722.5725284072823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11265.23889694344</v>
      </c>
      <c r="J114" s="282">
        <f>'Resultater - Vestdanmark'!J114+'Resultater - Østdanmark'!J114</f>
        <v>14016.979032799607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20739.967460005697</v>
      </c>
      <c r="J115" s="282">
        <f>'Resultater - Vestdanmark'!J115+'Resultater - Østdanmark'!J115</f>
        <v>25806.082914648512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2128.3012166079798</v>
      </c>
      <c r="J116" s="282">
        <f>'Resultater - Vestdanmark'!J116+'Resultater - Østdanmark'!J116</f>
        <v>2648.1776198079801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-83740057.30810681</v>
      </c>
      <c r="J117" s="282">
        <f>'Resultater - Vestdanmark'!J117+'Resultater - Østdanmark'!J117</f>
        <v>-104195094.15034682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-3738.3954155404826</v>
      </c>
      <c r="J118" s="282">
        <f>'Resultater - Vestdanmark'!J118+'Resultater - Østdanmark'!J118</f>
        <v>-4651.5667031404819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3556.861811174721</v>
      </c>
      <c r="J119" s="282">
        <f>'Resultater - Vestdanmark'!J119+'Resultater - Østdanmark'!J119</f>
        <v>4425.6902038117532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8327232.8365053385</v>
      </c>
      <c r="J120" s="282">
        <f>'Resultater - Vestdanmark'!J120+'Resultater - Østdanmark'!J120</f>
        <v>7817707.5723766582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2520696.8800802073</v>
      </c>
      <c r="J121" s="282">
        <f>'Resultater - Vestdanmark'!J121+'Resultater - Østdanmark'!J121</f>
        <v>2366460.9209293146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-177299653.72506946</v>
      </c>
      <c r="J122" s="282">
        <f>'Resultater - Vestdanmark'!J122+'Resultater - Østdanmark'!J122</f>
        <v>-166451073.57030803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2519532.6501988312</v>
      </c>
      <c r="J123" s="282">
        <f>'Resultater - Vestdanmark'!J123+'Resultater - Østdanmark'!J123</f>
        <v>2365367.9277419839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218711.10246240979</v>
      </c>
      <c r="J124" s="282">
        <f>'Resultater - Vestdanmark'!J124+'Resultater - Østdanmark'!J124</f>
        <v>208597.29425605555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66204.993236055947</v>
      </c>
      <c r="J125" s="282">
        <f>'Resultater - Vestdanmark'!J125+'Resultater - Østdanmark'!J125</f>
        <v>63143.490658666065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-3152972.1355900234</v>
      </c>
      <c r="J126" s="282">
        <f>'Resultater - Vestdanmark'!J126+'Resultater - Østdanmark'!J126</f>
        <v>-3007169.9559095595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387856.66724271985</v>
      </c>
      <c r="J127" s="282">
        <f>'Resultater - Vestdanmark'!J127+'Resultater - Østdanmark'!J127</f>
        <v>369921.0988153108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127435.24663930605</v>
      </c>
      <c r="J128" s="282">
        <f>'Resultater - Vestdanmark'!J128+'Resultater - Østdanmark'!J128</f>
        <v>121542.28725714161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38575.31486423024</v>
      </c>
      <c r="J129" s="282">
        <f>'Resultater - Vestdanmark'!J129+'Resultater - Østdanmark'!J129</f>
        <v>36791.485275132887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-1211291.6538597967</v>
      </c>
      <c r="J130" s="282">
        <f>'Resultater - Vestdanmark'!J130+'Resultater - Østdanmark'!J130</f>
        <v>-1155278.1669761066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496044.45598752372</v>
      </c>
      <c r="J131" s="282">
        <f>'Resultater - Vestdanmark'!J131+'Resultater - Østdanmark'!J131</f>
        <v>473105.98403434339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870749.37579411326</v>
      </c>
      <c r="J132" s="282">
        <f>'Resultater - Vestdanmark'!J132+'Resultater - Østdanmark'!J132</f>
        <v>1111062.0761953492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263580.38474364718</v>
      </c>
      <c r="J133" s="282">
        <f>'Resultater - Vestdanmark'!J133+'Resultater - Østdanmark'!J133</f>
        <v>336324.29451995413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-18539599.629401777</v>
      </c>
      <c r="J134" s="282">
        <f>'Resultater - Vestdanmark'!J134+'Resultater - Østdanmark'!J134</f>
        <v>-23656228.33468923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393221.8587015518</v>
      </c>
      <c r="J135" s="282">
        <f>'Resultater - Vestdanmark'!J135+'Resultater - Østdanmark'!J135</f>
        <v>501744.71194526926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22869.848806618455</v>
      </c>
      <c r="J136" s="282">
        <f>'Resultater - Vestdanmark'!J136+'Resultater - Østdanmark'!J136</f>
        <v>29646.100304875774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6922.8227031228453</v>
      </c>
      <c r="J137" s="282">
        <f>'Resultater - Vestdanmark'!J137+'Resultater - Østdanmark'!J137</f>
        <v>8974.0294299740563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-329695.17880244815</v>
      </c>
      <c r="J138" s="282">
        <f>'Resultater - Vestdanmark'!J138+'Resultater - Østdanmark'!J138</f>
        <v>-427382.63918835868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60532.543442505412</v>
      </c>
      <c r="J139" s="282">
        <f>'Resultater - Vestdanmark'!J139+'Resultater - Østdanmark'!J139</f>
        <v>78468.111869914399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13325.454402919344</v>
      </c>
      <c r="J140" s="282">
        <f>'Resultater - Vestdanmark'!J140+'Resultater - Østdanmark'!J140</f>
        <v>17273.737188969517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4033.6846583463876</v>
      </c>
      <c r="J141" s="282">
        <f>'Resultater - Vestdanmark'!J141+'Resultater - Østdanmark'!J141</f>
        <v>5228.8504830416123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-126660.49721574405</v>
      </c>
      <c r="J142" s="282">
        <f>'Resultater - Vestdanmark'!J142+'Resultater - Østdanmark'!J142</f>
        <v>-164189.53342781632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77417.342841983467</v>
      </c>
      <c r="J143" s="282">
        <f>'Resultater - Vestdanmark'!J143+'Resultater - Østdanmark'!J143</f>
        <v>100355.81479516374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238782.37503223581</v>
      </c>
      <c r="J144" s="282">
        <f>'Resultater - Vestdanmark'!J144+'Resultater - Østdanmark'!J144</f>
        <v>224417.95489668843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-2160930.4342343225</v>
      </c>
      <c r="J145" s="282">
        <f>'Resultater - Vestdanmark'!J145+'Resultater - Østdanmark'!J145</f>
        <v>-2030935.4434531056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24566.476784232447</v>
      </c>
      <c r="J146" s="282">
        <f>'Resultater - Vestdanmark'!J146+'Resultater - Østdanmark'!J146</f>
        <v>23088.632392529562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2717.2718403377421</v>
      </c>
      <c r="J147" s="282">
        <f>'Resultater - Vestdanmark'!J147+'Resultater - Østdanmark'!J147</f>
        <v>2591.6176511891758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-19979.976647683226</v>
      </c>
      <c r="J148" s="282">
        <f>'Resultater - Vestdanmark'!J148+'Resultater - Østdanmark'!J148</f>
        <v>-19056.047091720993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1638.5316924063941</v>
      </c>
      <c r="J149" s="282">
        <f>'Resultater - Vestdanmark'!J149+'Resultater - Østdanmark'!J149</f>
        <v>1562.7614407344222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802.64916320151292</v>
      </c>
      <c r="J150" s="282">
        <f>'Resultater - Vestdanmark'!J150+'Resultater - Østdanmark'!J150</f>
        <v>765.53243889161649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-4929.0116585198175</v>
      </c>
      <c r="J151" s="282">
        <f>'Resultater - Vestdanmark'!J151+'Resultater - Østdanmark'!J151</f>
        <v>-4701.0804835593626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1062.3756788077692</v>
      </c>
      <c r="J152" s="282">
        <f>'Resultater - Vestdanmark'!J152+'Resultater - Østdanmark'!J152</f>
        <v>1013.2484797877565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21241.969663272303</v>
      </c>
      <c r="J153" s="282">
        <f>'Resultater - Vestdanmark'!J153+'Resultater - Østdanmark'!J153</f>
        <v>27134.170910235967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-192235.37215529609</v>
      </c>
      <c r="J154" s="282">
        <f>'Resultater - Vestdanmark'!J154+'Resultater - Østdanmark'!J154</f>
        <v>-245558.55816296639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3834.0744114120007</v>
      </c>
      <c r="J155" s="282">
        <f>'Resultater - Vestdanmark'!J155+'Resultater - Østdanmark'!J155</f>
        <v>4897.5886893244533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241.72724637455406</v>
      </c>
      <c r="J156" s="282">
        <f>'Resultater - Vestdanmark'!J156+'Resultater - Østdanmark'!J156</f>
        <v>313.35013418923671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-1777.4094832823403</v>
      </c>
      <c r="J157" s="282">
        <f>'Resultater - Vestdanmark'!J157+'Resultater - Østdanmark'!J157</f>
        <v>-2304.049330180811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255.72459939290545</v>
      </c>
      <c r="J158" s="282">
        <f>'Resultater - Vestdanmark'!J158+'Resultater - Østdanmark'!J158</f>
        <v>331.49485106487742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71.403298391163489</v>
      </c>
      <c r="J159" s="282">
        <f>'Resultater - Vestdanmark'!J159+'Resultater - Østdanmark'!J159</f>
        <v>92.559831247804524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-438.48259783017335</v>
      </c>
      <c r="J160" s="282">
        <f>'Resultater - Vestdanmark'!J160+'Resultater - Østdanmark'!J160</f>
        <v>-568.40336755763201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165.80429669254198</v>
      </c>
      <c r="J161" s="282">
        <f>'Resultater - Vestdanmark'!J161+'Resultater - Østdanmark'!J161</f>
        <v>214.93149571255441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26833.324057007267</v>
      </c>
      <c r="J162" s="282">
        <f>'Resultater - Vestdanmark'!J162+'Resultater - Østdanmark'!J162</f>
        <v>25223.498020412364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-22959417.088653084</v>
      </c>
      <c r="J163" s="282">
        <f>'Resultater - Vestdanmark'!J163+'Resultater - Østdanmark'!J163</f>
        <v>-21582000.435545441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4971.6854585923757</v>
      </c>
      <c r="J164" s="282">
        <f>'Resultater - Vestdanmark'!J164+'Resultater - Østdanmark'!J164</f>
        <v>4673.41645993985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2387.0800996378143</v>
      </c>
      <c r="J165" s="282">
        <f>'Resultater - Vestdanmark'!J165+'Resultater - Østdanmark'!J165</f>
        <v>3049.7502151953131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-2042459.1271350924</v>
      </c>
      <c r="J166" s="282">
        <f>'Resultater - Vestdanmark'!J166+'Resultater - Østdanmark'!J166</f>
        <v>-2609460.052661404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775.92778833522641</v>
      </c>
      <c r="J167" s="282">
        <f>'Resultater - Vestdanmark'!J167+'Resultater - Østdanmark'!J167</f>
        <v>991.33076422966542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2024635.254957163</v>
      </c>
      <c r="J168" s="282">
        <f>'Resultater - Vestdanmark'!J168+'Resultater - Østdanmark'!J168</f>
        <v>1896041.6577530119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-6670398.9564645123</v>
      </c>
      <c r="J169" s="282">
        <f>'Resultater - Vestdanmark'!J169+'Resultater - Østdanmark'!J169</f>
        <v>-6246732.227112446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101109.65690796172</v>
      </c>
      <c r="J170" s="282">
        <f>'Resultater - Vestdanmark'!J170+'Resultater - Østdanmark'!J170</f>
        <v>94687.732533169838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74311.214987708983</v>
      </c>
      <c r="J171" s="282">
        <f>'Resultater - Vestdanmark'!J171+'Resultater - Østdanmark'!J171</f>
        <v>70874.858225271571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-163218.02480849379</v>
      </c>
      <c r="J172" s="282">
        <f>'Resultater - Vestdanmark'!J172+'Resultater - Østdanmark'!J172</f>
        <v>-155670.37048208943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21751.106400017437</v>
      </c>
      <c r="J173" s="282">
        <f>'Resultater - Vestdanmark'!J173+'Resultater - Østdanmark'!J173</f>
        <v>20745.274890190038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72574.62699914843</v>
      </c>
      <c r="J174" s="282">
        <f>'Resultater - Vestdanmark'!J174+'Resultater - Østdanmark'!J174</f>
        <v>69218.574883580863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-102473.84736491642</v>
      </c>
      <c r="J175" s="282">
        <f>'Resultater - Vestdanmark'!J175+'Resultater - Østdanmark'!J175</f>
        <v>-97735.172342261329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46627.529754982352</v>
      </c>
      <c r="J176" s="282">
        <f>'Resultater - Vestdanmark'!J176+'Resultater - Østdanmark'!J176</f>
        <v>44471.343407931141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180110.61603347247</v>
      </c>
      <c r="J177" s="282">
        <f>'Resultater - Vestdanmark'!J177+'Resultater - Østdanmark'!J177</f>
        <v>229248.67316468229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-593395.60658953083</v>
      </c>
      <c r="J178" s="282">
        <f>'Resultater - Vestdanmark'!J178+'Resultater - Østdanmark'!J178</f>
        <v>-755286.71473268664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15780.119864248361</v>
      </c>
      <c r="J179" s="282">
        <f>'Resultater - Vestdanmark'!J179+'Resultater - Østdanmark'!J179</f>
        <v>20085.276597945118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6610.6913217389683</v>
      </c>
      <c r="J180" s="282">
        <f>'Resultater - Vestdanmark'!J180+'Resultater - Østdanmark'!J180</f>
        <v>8569.4146763282897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-14519.800010420344</v>
      </c>
      <c r="J181" s="282">
        <f>'Resultater - Vestdanmark'!J181+'Resultater - Østdanmark'!J181</f>
        <v>-18821.962976470812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3394.6813456674618</v>
      </c>
      <c r="J182" s="282">
        <f>'Resultater - Vestdanmark'!J182+'Resultater - Østdanmark'!J182</f>
        <v>4400.512855494856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6456.2052573230876</v>
      </c>
      <c r="J183" s="282">
        <f>'Resultater - Vestdanmark'!J183+'Resultater - Østdanmark'!J183</f>
        <v>8369.1549631965936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-9116.0260748327401</v>
      </c>
      <c r="J184" s="282">
        <f>'Resultater - Vestdanmark'!J184+'Resultater - Østdanmark'!J184</f>
        <v>-11817.070837746141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7277.1289212978236</v>
      </c>
      <c r="J185" s="282">
        <f>'Resultater - Vestdanmark'!J185+'Resultater - Østdanmark'!J185</f>
        <v>9433.3152683490316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10977496.633408947</v>
      </c>
      <c r="J186" s="282">
        <f>'Resultater - Vestdanmark'!J186+'Resultater - Østdanmark'!J186</f>
        <v>10288049.550353374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-31987733.23110842</v>
      </c>
      <c r="J187" s="282">
        <f>'Resultater - Vestdanmark'!J187+'Resultater - Østdanmark'!J187</f>
        <v>-29978727.889888018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469227.92823354003</v>
      </c>
      <c r="J188" s="282">
        <f>'Resultater - Vestdanmark'!J188+'Resultater - Østdanmark'!J188</f>
        <v>439757.8370814044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1210547.8725060404</v>
      </c>
      <c r="J189" s="282">
        <f>'Resultater - Vestdanmark'!J189+'Resultater - Østdanmark'!J189</f>
        <v>1154568.7801358185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-2465429.1681735362</v>
      </c>
      <c r="J190" s="282">
        <f>'Resultater - Vestdanmark'!J190+'Resultater - Østdanmark'!J190</f>
        <v>-2351420.8829400772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303279.92109319306</v>
      </c>
      <c r="J191" s="282">
        <f>'Resultater - Vestdanmark'!J191+'Resultater - Østdanmark'!J191</f>
        <v>289255.41607154248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1422541.4955528916</v>
      </c>
      <c r="J192" s="282">
        <f>'Resultater - Vestdanmark'!J192+'Resultater - Østdanmark'!J192</f>
        <v>1356759.2298625843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-2005740.1205592891</v>
      </c>
      <c r="J193" s="282">
        <f>'Resultater - Vestdanmark'!J193+'Resultater - Østdanmark'!J193</f>
        <v>-1912989.1323253333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782271.01331188029</v>
      </c>
      <c r="J194" s="282">
        <f>'Resultater - Vestdanmark'!J194+'Resultater - Østdanmark'!J194</f>
        <v>746096.63119341177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1336335.7173386849</v>
      </c>
      <c r="J195" s="282">
        <f>'Resultater - Vestdanmark'!J195+'Resultater - Østdanmark'!J195</f>
        <v>1702204.5619675585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-3893998.0453592101</v>
      </c>
      <c r="J196" s="282">
        <f>'Resultater - Vestdanmark'!J196+'Resultater - Østdanmark'!J196</f>
        <v>-4960116.7963269278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73232.104406390645</v>
      </c>
      <c r="J197" s="282">
        <f>'Resultater - Vestdanmark'!J197+'Resultater - Østdanmark'!J197</f>
        <v>93281.965441510023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147364.96066460814</v>
      </c>
      <c r="J198" s="282">
        <f>'Resultater - Vestdanmark'!J198+'Resultater - Østdanmark'!J198</f>
        <v>191028.6527133809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-300126.81087707903</v>
      </c>
      <c r="J199" s="282">
        <f>'Resultater - Vestdanmark'!J199+'Resultater - Østdanmark'!J199</f>
        <v>-389053.27335917647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47332.704448070595</v>
      </c>
      <c r="J200" s="282">
        <f>'Resultater - Vestdanmark'!J200+'Resultater - Østdanmark'!J200</f>
        <v>61357.209469721136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173171.81442973349</v>
      </c>
      <c r="J201" s="282">
        <f>'Resultater - Vestdanmark'!J201+'Resultater - Østdanmark'!J201</f>
        <v>224481.98166817299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-244166.97652588805</v>
      </c>
      <c r="J202" s="282">
        <f>'Resultater - Vestdanmark'!J202+'Resultater - Østdanmark'!J202</f>
        <v>-316512.74734837335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122088.53964983103</v>
      </c>
      <c r="J203" s="282">
        <f>'Resultater - Vestdanmark'!J203+'Resultater - Østdanmark'!J203</f>
        <v>158262.92176829945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261152.46068040878</v>
      </c>
      <c r="J204" s="282">
        <f>'Resultater - Vestdanmark'!J204+'Resultater - Østdanmark'!J204</f>
        <v>244698.07513625757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71902.885248768187</v>
      </c>
      <c r="J205" s="282">
        <f>'Resultater - Vestdanmark'!J205+'Resultater - Østdanmark'!J205</f>
        <v>67372.513248682139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143497.42839494569</v>
      </c>
      <c r="J207" s="282">
        <f>'Resultater - Vestdanmark'!J207+'Resultater - Østdanmark'!J207</f>
        <v>134456.11204949414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9448.4072313431316</v>
      </c>
      <c r="J208" s="282">
        <f>'Resultater - Vestdanmark'!J208+'Resultater - Østdanmark'!J208</f>
        <v>9011.4866657318871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2601.4219401527612</v>
      </c>
      <c r="J209" s="282">
        <f>'Resultater - Vestdanmark'!J209+'Resultater - Østdanmark'!J209</f>
        <v>2481.1249718219974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30429.144897109905</v>
      </c>
      <c r="J211" s="282">
        <f>'Resultater - Vestdanmark'!J211+'Resultater - Østdanmark'!J211</f>
        <v>29022.016809382279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3670.910054503971</v>
      </c>
      <c r="J212" s="282">
        <f>'Resultater - Vestdanmark'!J212+'Resultater - Østdanmark'!J212</f>
        <v>3501.1569883997413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1010.7085482551205</v>
      </c>
      <c r="J213" s="282">
        <f>'Resultater - Vestdanmark'!J213+'Resultater - Østdanmark'!J213</f>
        <v>963.97058070575076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25949.888315623026</v>
      </c>
      <c r="J215" s="282">
        <f>'Resultater - Vestdanmark'!J215+'Resultater - Østdanmark'!J215</f>
        <v>24749.893480218496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23232.002137985502</v>
      </c>
      <c r="J216" s="282">
        <f>'Resultater - Vestdanmark'!J216+'Resultater - Østdanmark'!J216</f>
        <v>29586.221811929325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6396.4474218412861</v>
      </c>
      <c r="J217" s="282">
        <f>'Resultater - Vestdanmark'!J217+'Resultater - Østdanmark'!J217</f>
        <v>8145.9493291588406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22395.552408459735</v>
      </c>
      <c r="J219" s="282">
        <f>'Resultater - Vestdanmark'!J219+'Resultater - Østdanmark'!J219</f>
        <v>28520.993465044212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840.52593809462883</v>
      </c>
      <c r="J220" s="282">
        <f>'Resultater - Vestdanmark'!J220+'Resultater - Østdanmark'!J220</f>
        <v>1089.5706604930374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231.42129282630628</v>
      </c>
      <c r="J221" s="282">
        <f>'Resultater - Vestdanmark'!J221+'Resultater - Østdanmark'!J221</f>
        <v>299.99056477484146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4749.0572960807376</v>
      </c>
      <c r="J223" s="282">
        <f>'Resultater - Vestdanmark'!J223+'Resultater - Østdanmark'!J223</f>
        <v>6156.1853838083616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326.56246091801216</v>
      </c>
      <c r="J224" s="282">
        <f>'Resultater - Vestdanmark'!J224+'Resultater - Østdanmark'!J224</f>
        <v>423.32170859742314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89.912165073100027</v>
      </c>
      <c r="J225" s="282">
        <f>'Resultater - Vestdanmark'!J225+'Resultater - Østdanmark'!J225</f>
        <v>116.55280657624074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4049.9825694902988</v>
      </c>
      <c r="J227" s="282">
        <f>'Resultater - Vestdanmark'!J227+'Resultater - Østdanmark'!J227</f>
        <v>5249.977404894832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2531835.1857061931</v>
      </c>
      <c r="J228" s="282">
        <f>'Resultater - Vestdanmark'!J228+'Resultater - Østdanmark'!J228</f>
        <v>2394420.7086597574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-3924018.9896024987</v>
      </c>
      <c r="J229" s="282">
        <f>'Resultater - Vestdanmark'!J229+'Resultater - Østdanmark'!J229</f>
        <v>-3711044.2191985128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66089.036107890293</v>
      </c>
      <c r="J230" s="282">
        <f>'Resultater - Vestdanmark'!J230+'Resultater - Østdanmark'!J230</f>
        <v>62502.07658282324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12717.640896460449</v>
      </c>
      <c r="J231" s="282">
        <f>'Resultater - Vestdanmark'!J231+'Resultater - Østdanmark'!J231</f>
        <v>12129.541895468059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-12775.458973644028</v>
      </c>
      <c r="J232" s="282">
        <f>'Resultater - Vestdanmark'!J232+'Resultater - Østdanmark'!J232</f>
        <v>-12184.686304342569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1945.7260505796646</v>
      </c>
      <c r="J233" s="282">
        <f>'Resultater - Vestdanmark'!J233+'Resultater - Østdanmark'!J233</f>
        <v>1855.7502794545933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5438.8494240816599</v>
      </c>
      <c r="J234" s="282">
        <f>'Resultater - Vestdanmark'!J234+'Resultater - Østdanmark'!J234</f>
        <v>5187.3419362628547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-3345.0465355545793</v>
      </c>
      <c r="J235" s="282">
        <f>'Resultater - Vestdanmark'!J235+'Resultater - Østdanmark'!J235</f>
        <v>-3190.3623026965643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1826.4709782539626</v>
      </c>
      <c r="J236" s="282">
        <f>'Resultater - Vestdanmark'!J236+'Resultater - Østdanmark'!J236</f>
        <v>1742.0098925543575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225230.88732958562</v>
      </c>
      <c r="J237" s="282">
        <f>'Resultater - Vestdanmark'!J237+'Resultater - Østdanmark'!J237</f>
        <v>289507.23113795248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-349078.91473978292</v>
      </c>
      <c r="J238" s="282">
        <f>'Resultater - Vestdanmark'!J238+'Resultater - Østdanmark'!J238</f>
        <v>-448698.98286672926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10314.473843427966</v>
      </c>
      <c r="J239" s="282">
        <f>'Resultater - Vestdanmark'!J239+'Resultater - Østdanmark'!J239</f>
        <v>13258.016244841294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1131.3554531591117</v>
      </c>
      <c r="J240" s="282">
        <f>'Resultater - Vestdanmark'!J240+'Resultater - Østdanmark'!J240</f>
        <v>1466.5718837247741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-1136.4989225686797</v>
      </c>
      <c r="J241" s="282">
        <f>'Resultater - Vestdanmark'!J241+'Resultater - Østdanmark'!J241</f>
        <v>-1473.2393440705107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303.66822754711529</v>
      </c>
      <c r="J242" s="282">
        <f>'Resultater - Vestdanmark'!J242+'Resultater - Østdanmark'!J242</f>
        <v>393.64399867218651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483.83752969142631</v>
      </c>
      <c r="J243" s="282">
        <f>'Resultater - Vestdanmark'!J243+'Resultater - Østdanmark'!J243</f>
        <v>627.19679774814506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-297.5737929606068</v>
      </c>
      <c r="J244" s="282">
        <f>'Resultater - Vestdanmark'!J244+'Resultater - Østdanmark'!J244</f>
        <v>-385.74380568967541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285.0561642361676</v>
      </c>
      <c r="J245" s="282">
        <f>'Resultater - Vestdanmark'!J245+'Resultater - Østdanmark'!J245</f>
        <v>369.51724993577272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38469.5604206551</v>
      </c>
      <c r="J246" s="282">
        <f>'Resultater - Vestdanmark'!J246+'Resultater - Østdanmark'!J246</f>
        <v>36173.996116215385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-591756.15505640011</v>
      </c>
      <c r="J247" s="282">
        <f>'Resultater - Vestdanmark'!J247+'Resultater - Østdanmark'!J247</f>
        <v>-556444.74802117434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8308.6552922801311</v>
      </c>
      <c r="J248" s="282">
        <f>'Resultater - Vestdanmark'!J248+'Resultater - Østdanmark'!J248</f>
        <v>7812.8593357292048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1055.4891695522883</v>
      </c>
      <c r="J249" s="282">
        <f>'Resultater - Vestdanmark'!J249+'Resultater - Østdanmark'!J249</f>
        <v>1006.6804218273271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-13530.009307969169</v>
      </c>
      <c r="J250" s="282">
        <f>'Resultater - Vestdanmark'!J250+'Resultater - Østdanmark'!J250</f>
        <v>-12904.344137658456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1030.3773145057196</v>
      </c>
      <c r="J251" s="282">
        <f>'Resultater - Vestdanmark'!J251+'Resultater - Østdanmark'!J251</f>
        <v>982.72980863262285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700.00679848931259</v>
      </c>
      <c r="J252" s="282">
        <f>'Resultater - Vestdanmark'!J252+'Resultater - Østdanmark'!J252</f>
        <v>667.63654191177216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-7691.3005477176011</v>
      </c>
      <c r="J253" s="282">
        <f>'Resultater - Vestdanmark'!J253+'Resultater - Østdanmark'!J253</f>
        <v>-7335.6334703664988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1565.8221249965761</v>
      </c>
      <c r="J254" s="282">
        <f>'Resultater - Vestdanmark'!J254+'Resultater - Østdanmark'!J254</f>
        <v>1493.4141654591622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3422.2343056293757</v>
      </c>
      <c r="J255" s="282">
        <f>'Resultater - Vestdanmark'!J255+'Resultater - Østdanmark'!J255</f>
        <v>4373.7649849605878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-52642.353909352598</v>
      </c>
      <c r="J256" s="282">
        <f>'Resultater - Vestdanmark'!J256+'Resultater - Østdanmark'!J256</f>
        <v>-67279.228624378346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1296.726548506148</v>
      </c>
      <c r="J257" s="282">
        <f>'Resultater - Vestdanmark'!J257+'Resultater - Østdanmark'!J257</f>
        <v>1657.2731924274071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93.895828435894316</v>
      </c>
      <c r="J258" s="282">
        <f>'Resultater - Vestdanmark'!J258+'Resultater - Østdanmark'!J258</f>
        <v>121.71681463912225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-1203.6233713852341</v>
      </c>
      <c r="J259" s="282">
        <f>'Resultater - Vestdanmark'!J259+'Resultater - Østdanmark'!J259</f>
        <v>-1560.2525184623403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160.81033232170194</v>
      </c>
      <c r="J260" s="282">
        <f>'Resultater - Vestdanmark'!J260+'Resultater - Østdanmark'!J260</f>
        <v>208.45783819479874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62.272281091043467</v>
      </c>
      <c r="J261" s="282">
        <f>'Resultater - Vestdanmark'!J261+'Resultater - Østdanmark'!J261</f>
        <v>80.723327340241525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-684.21454005418434</v>
      </c>
      <c r="J262" s="282">
        <f>'Resultater - Vestdanmark'!J262+'Resultater - Østdanmark'!J262</f>
        <v>-886.94477414431287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244.37686343877201</v>
      </c>
      <c r="J263" s="282">
        <f>'Resultater - Vestdanmark'!J263+'Resultater - Østdanmark'!J263</f>
        <v>316.78482297618586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1834479.4098559336</v>
      </c>
      <c r="J264" s="282">
        <f>'Resultater - Vestdanmark'!J264+'Resultater - Østdanmark'!J264</f>
        <v>1721127.8853638773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-8160261.0331966113</v>
      </c>
      <c r="J265" s="282">
        <f>'Resultater - Vestdanmark'!J265+'Resultater - Østdanmark'!J265</f>
        <v>-7656042.7664794084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130584.91177752649</v>
      </c>
      <c r="J266" s="282">
        <f>'Resultater - Vestdanmark'!J266+'Resultater - Østdanmark'!J266</f>
        <v>122516.13829000843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57444.082827082631</v>
      </c>
      <c r="J267" s="282">
        <f>'Resultater - Vestdanmark'!J267+'Resultater - Østdanmark'!J267</f>
        <v>54787.709054731989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-187336.38658197131</v>
      </c>
      <c r="J268" s="282">
        <f>'Resultater - Vestdanmark'!J268+'Resultater - Østdanmark'!J268</f>
        <v>-178673.43228916338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23966.60990502391</v>
      </c>
      <c r="J269" s="282">
        <f>'Resultater - Vestdanmark'!J269+'Resultater - Østdanmark'!J269</f>
        <v>22858.327366063266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37720.147934227949</v>
      </c>
      <c r="J270" s="282">
        <f>'Resultater - Vestdanmark'!J270+'Resultater - Østdanmark'!J270</f>
        <v>35975.8636366914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-91029.455811645093</v>
      </c>
      <c r="J271" s="282">
        <f>'Resultater - Vestdanmark'!J271+'Resultater - Østdanmark'!J271</f>
        <v>-86820.001207638372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34543.417323586204</v>
      </c>
      <c r="J272" s="282">
        <f>'Resultater - Vestdanmark'!J272+'Resultater - Østdanmark'!J272</f>
        <v>32946.03386353598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163194.4399866059</v>
      </c>
      <c r="J273" s="282">
        <f>'Resultater - Vestdanmark'!J273+'Resultater - Østdanmark'!J273</f>
        <v>208100.00795763242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-725933.04798205709</v>
      </c>
      <c r="J274" s="282">
        <f>'Resultater - Vestdanmark'!J274+'Resultater - Østdanmark'!J274</f>
        <v>-925685.17085614649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20380.304150249798</v>
      </c>
      <c r="J275" s="282">
        <f>'Resultater - Vestdanmark'!J275+'Resultater - Østdanmark'!J275</f>
        <v>25988.271758486637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5110.1990445595475</v>
      </c>
      <c r="J276" s="282">
        <f>'Resultater - Vestdanmark'!J276+'Resultater - Østdanmark'!J276</f>
        <v>6624.3320947994125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-16665.358320789241</v>
      </c>
      <c r="J277" s="282">
        <f>'Resultater - Vestdanmark'!J277+'Resultater - Østdanmark'!J277</f>
        <v>-21603.242267689755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3740.4535689921718</v>
      </c>
      <c r="J278" s="282">
        <f>'Resultater - Vestdanmark'!J278+'Resultater - Østdanmark'!J278</f>
        <v>4848.7361079528146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3355.5669173859433</v>
      </c>
      <c r="J279" s="282">
        <f>'Resultater - Vestdanmark'!J279+'Resultater - Østdanmark'!J279</f>
        <v>4349.8089669817764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-8097.9382944579065</v>
      </c>
      <c r="J280" s="282">
        <f>'Resultater - Vestdanmark'!J280+'Resultater - Østdanmark'!J280</f>
        <v>-10497.327418741728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5391.1691776695243</v>
      </c>
      <c r="J281" s="282">
        <f>'Resultater - Vestdanmark'!J281+'Resultater - Østdanmark'!J281</f>
        <v>6988.5526377197521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7047151.4475626573</v>
      </c>
      <c r="J282" s="282">
        <f>'Resultater - Vestdanmark'!J282+'Resultater - Østdanmark'!J282</f>
        <v>6599054.342859488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-23630951.446640048</v>
      </c>
      <c r="J283" s="282">
        <f>'Resultater - Vestdanmark'!J283+'Resultater - Østdanmark'!J283</f>
        <v>-22128364.05322127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335809.75751592423</v>
      </c>
      <c r="J284" s="282">
        <f>'Resultater - Vestdanmark'!J284+'Resultater - Østdanmark'!J284</f>
        <v>314457.10443423089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263018.19279247633</v>
      </c>
      <c r="J285" s="282">
        <f>'Resultater - Vestdanmark'!J285+'Resultater - Østdanmark'!J285</f>
        <v>250855.50179629249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-597166.60922495753</v>
      </c>
      <c r="J286" s="282">
        <f>'Resultater - Vestdanmark'!J286+'Resultater - Østdanmark'!J286</f>
        <v>-569551.96833594213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73459.276163024173</v>
      </c>
      <c r="J287" s="282">
        <f>'Resultater - Vestdanmark'!J287+'Resultater - Østdanmark'!J287</f>
        <v>70062.315415601101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101980.54241912819</v>
      </c>
      <c r="J288" s="282">
        <f>'Resultater - Vestdanmark'!J288+'Resultater - Østdanmark'!J288</f>
        <v>97264.679185873712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-152664.09314587104</v>
      </c>
      <c r="J289" s="282">
        <f>'Resultater - Vestdanmark'!J289+'Resultater - Østdanmark'!J289</f>
        <v>-145604.48190213135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62518.532833990423</v>
      </c>
      <c r="J290" s="282">
        <f>'Resultater - Vestdanmark'!J290+'Resultater - Østdanmark'!J290</f>
        <v>59627.502413921495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912870.889825891</v>
      </c>
      <c r="J291" s="282">
        <f>'Resultater - Vestdanmark'!J291+'Resultater - Østdanmark'!J291</f>
        <v>1161833.5070307159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-3061096.0804578238</v>
      </c>
      <c r="J292" s="282">
        <f>'Resultater - Vestdanmark'!J292+'Resultater - Østdanmark'!J292</f>
        <v>-3895933.1863398654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52409.615334855233</v>
      </c>
      <c r="J293" s="282">
        <f>'Resultater - Vestdanmark'!J293+'Resultater - Østdanmark'!J293</f>
        <v>66703.022152715639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34070.738153060083</v>
      </c>
      <c r="J294" s="282">
        <f>'Resultater - Vestdanmark'!J294+'Resultater - Østdanmark'!J294</f>
        <v>44165.771679892699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-77355.512790354318</v>
      </c>
      <c r="J295" s="282">
        <f>'Resultater - Vestdanmark'!J295+'Resultater - Østdanmark'!J295</f>
        <v>-100275.66472823705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11464.742522552908</v>
      </c>
      <c r="J296" s="282">
        <f>'Resultater - Vestdanmark'!J296+'Resultater - Østdanmark'!J296</f>
        <v>14861.703269975989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13210.311882154119</v>
      </c>
      <c r="J297" s="282">
        <f>'Resultater - Vestdanmark'!J297+'Resultater - Østdanmark'!J297</f>
        <v>17124.478365755338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-19775.73599652584</v>
      </c>
      <c r="J298" s="282">
        <f>'Resultater - Vestdanmark'!J298+'Resultater - Østdanmark'!J298</f>
        <v>-25635.213328829788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9757.2276677326081</v>
      </c>
      <c r="J299" s="282">
        <f>'Resultater - Vestdanmark'!J299+'Resultater - Østdanmark'!J299</f>
        <v>12648.258087801529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636884.42782686418</v>
      </c>
      <c r="J300" s="282">
        <f>'Resultater - Vestdanmark'!J300+'Resultater - Østdanmark'!J300</f>
        <v>598167.48836302839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315471.67087319482</v>
      </c>
      <c r="J301" s="282">
        <f>'Resultater - Vestdanmark'!J301+'Resultater - Østdanmark'!J301</f>
        <v>296293.78388131346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-23629319.638250768</v>
      </c>
      <c r="J302" s="282">
        <f>'Resultater - Vestdanmark'!J302+'Resultater - Østdanmark'!J302</f>
        <v>-22192866.024323683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307004.86268002487</v>
      </c>
      <c r="J303" s="282">
        <f>'Resultater - Vestdanmark'!J303+'Resultater - Østdanmark'!J303</f>
        <v>288341.68273065262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12897.628648138445</v>
      </c>
      <c r="J304" s="282">
        <f>'Resultater - Vestdanmark'!J304+'Resultater - Østdanmark'!J304</f>
        <v>12301.20651412048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6388.6574740312617</v>
      </c>
      <c r="J305" s="282">
        <f>'Resultater - Vestdanmark'!J305+'Resultater - Østdanmark'!J305</f>
        <v>6093.2282266772145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-330406.94149636658</v>
      </c>
      <c r="J306" s="282">
        <f>'Resultater - Vestdanmark'!J306+'Resultater - Østdanmark'!J306</f>
        <v>-315128.00778555189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36439.771209003746</v>
      </c>
      <c r="J307" s="282">
        <f>'Resultater - Vestdanmark'!J307+'Resultater - Østdanmark'!J307</f>
        <v>34754.695083731895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6115.4142949364787</v>
      </c>
      <c r="J308" s="282">
        <f>'Resultater - Vestdanmark'!J308+'Resultater - Østdanmark'!J308</f>
        <v>5832.6205703151372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3029.1837598985721</v>
      </c>
      <c r="J309" s="282">
        <f>'Resultater - Vestdanmark'!J309+'Resultater - Østdanmark'!J309</f>
        <v>2889.1058981691581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-106499.66138024796</v>
      </c>
      <c r="J310" s="282">
        <f>'Resultater - Vestdanmark'!J310+'Resultater - Østdanmark'!J310</f>
        <v>-101574.82154763532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37924.709418127022</v>
      </c>
      <c r="J311" s="282">
        <f>'Resultater - Vestdanmark'!J311+'Resultater - Østdanmark'!J311</f>
        <v>36170.965630005536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54668.981232537204</v>
      </c>
      <c r="J312" s="282">
        <f>'Resultater - Vestdanmark'!J312+'Resultater - Østdanmark'!J312</f>
        <v>69786.206975686655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27079.504696340715</v>
      </c>
      <c r="J313" s="282">
        <f>'Resultater - Vestdanmark'!J313+'Resultater - Østdanmark'!J313</f>
        <v>34567.608119486569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-2028297.0903353989</v>
      </c>
      <c r="J314" s="282">
        <f>'Resultater - Vestdanmark'!J314+'Resultater - Østdanmark'!J314</f>
        <v>-2589167.7028377634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47914.053713067478</v>
      </c>
      <c r="J315" s="282">
        <f>'Resultater - Vestdanmark'!J315+'Resultater - Østdanmark'!J315</f>
        <v>61163.38724589601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1107.1085862708433</v>
      </c>
      <c r="J316" s="282">
        <f>'Resultater - Vestdanmark'!J316+'Resultater - Østdanmark'!J316</f>
        <v>1435.140759980723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548.39054040094936</v>
      </c>
      <c r="J317" s="282">
        <f>'Resultater - Vestdanmark'!J317+'Resultater - Østdanmark'!J317</f>
        <v>710.87662644567502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-28361.520700699672</v>
      </c>
      <c r="J318" s="282">
        <f>'Resultater - Vestdanmark'!J318+'Resultater - Østdanmark'!J318</f>
        <v>-36764.934241647723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5687.1319227924914</v>
      </c>
      <c r="J319" s="282">
        <f>'Resultater - Vestdanmark'!J319+'Resultater - Østdanmark'!J319</f>
        <v>7372.2080480643417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524.93585132836245</v>
      </c>
      <c r="J320" s="282">
        <f>'Resultater - Vestdanmark'!J320+'Resultater - Østdanmark'!J320</f>
        <v>680.47239987009948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260.01953083522426</v>
      </c>
      <c r="J321" s="282">
        <f>'Resultater - Vestdanmark'!J321+'Resultater - Østdanmark'!J321</f>
        <v>337.06235478640178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-9141.73393928718</v>
      </c>
      <c r="J322" s="282">
        <f>'Resultater - Vestdanmark'!J322+'Resultater - Østdanmark'!J322</f>
        <v>-11850.395847224121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5918.8852849099985</v>
      </c>
      <c r="J323" s="282">
        <f>'Resultater - Vestdanmark'!J323+'Resultater - Østdanmark'!J323</f>
        <v>7672.6290730314777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1292293.5165717863</v>
      </c>
      <c r="J324" s="282">
        <f>'Resultater - Vestdanmark'!J324+'Resultater - Østdanmark'!J324</f>
        <v>1215795.6449854798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199104.36392636053</v>
      </c>
      <c r="J325" s="282">
        <f>'Resultater - Vestdanmark'!J325+'Resultater - Østdanmark'!J325</f>
        <v>187318.29530603884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-12654938.385150034</v>
      </c>
      <c r="J326" s="282">
        <f>'Resultater - Vestdanmark'!J326+'Resultater - Østdanmark'!J326</f>
        <v>-11905823.854197383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191823.08084794122</v>
      </c>
      <c r="J327" s="282">
        <f>'Resultater - Vestdanmark'!J327+'Resultater - Østdanmark'!J327</f>
        <v>180468.03091708419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80551.279211464556</v>
      </c>
      <c r="J328" s="282">
        <f>'Resultater - Vestdanmark'!J328+'Resultater - Østdanmark'!J328</f>
        <v>76826.364565847703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12410.579334483886</v>
      </c>
      <c r="J329" s="282">
        <f>'Resultater - Vestdanmark'!J329+'Resultater - Østdanmark'!J329</f>
        <v>11836.679712080007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-591606.0064107785</v>
      </c>
      <c r="J330" s="282">
        <f>'Resultater - Vestdanmark'!J330+'Resultater - Østdanmark'!J330</f>
        <v>-564248.50322415296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70079.869929554174</v>
      </c>
      <c r="J331" s="282">
        <f>'Resultater - Vestdanmark'!J331+'Resultater - Østdanmark'!J331</f>
        <v>66839.182302753994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69042.756012718266</v>
      </c>
      <c r="J332" s="282">
        <f>'Resultater - Vestdanmark'!J332+'Resultater - Østdanmark'!J332</f>
        <v>65850.027410974057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10637.45491512071</v>
      </c>
      <c r="J333" s="282">
        <f>'Resultater - Vestdanmark'!J333+'Resultater - Østdanmark'!J333</f>
        <v>10145.549485519754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-386348.24146927526</v>
      </c>
      <c r="J334" s="282">
        <f>'Resultater - Vestdanmark'!J334+'Resultater - Østdanmark'!J334</f>
        <v>-368482.42683485791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131846.7925338769</v>
      </c>
      <c r="J335" s="282">
        <f>'Resultater - Vestdanmark'!J335+'Resultater - Østdanmark'!J335</f>
        <v>125749.83102942017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114961.8336418485</v>
      </c>
      <c r="J336" s="282">
        <f>'Resultater - Vestdanmark'!J336+'Resultater - Østdanmark'!J336</f>
        <v>147000.74616642622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17712.23214350687</v>
      </c>
      <c r="J337" s="282">
        <f>'Resultater - Vestdanmark'!J337+'Resultater - Østdanmark'!J337</f>
        <v>22648.484796093784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-1125777.4667483179</v>
      </c>
      <c r="J338" s="282">
        <f>'Resultater - Vestdanmark'!J338+'Resultater - Østdanmark'!J338</f>
        <v>-1439522.3387347744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29937.706259505281</v>
      </c>
      <c r="J339" s="282">
        <f>'Resultater - Vestdanmark'!J339+'Resultater - Østdanmark'!J339</f>
        <v>38281.097467260282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7165.8045495054303</v>
      </c>
      <c r="J340" s="282">
        <f>'Resultater - Vestdanmark'!J340+'Resultater - Østdanmark'!J340</f>
        <v>9289.0058975070406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1104.0393985994624</v>
      </c>
      <c r="J341" s="282">
        <f>'Resultater - Vestdanmark'!J341+'Resultater - Østdanmark'!J341</f>
        <v>1431.1621833696736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-52628.996755270993</v>
      </c>
      <c r="J342" s="282">
        <f>'Resultater - Vestdanmark'!J342+'Resultater - Østdanmark'!J342</f>
        <v>-68222.773571647573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10937.320740450652</v>
      </c>
      <c r="J343" s="282">
        <f>'Resultater - Vestdanmark'!J343+'Resultater - Østdanmark'!J343</f>
        <v>14178.008367250844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6142.011647605399</v>
      </c>
      <c r="J344" s="282">
        <f>'Resultater - Vestdanmark'!J344+'Resultater - Østdanmark'!J344</f>
        <v>7961.8669505995913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946.30307019484246</v>
      </c>
      <c r="J345" s="282">
        <f>'Resultater - Vestdanmark'!J345+'Resultater - Østdanmark'!J345</f>
        <v>1226.6891650673883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-34369.360902960383</v>
      </c>
      <c r="J346" s="282">
        <f>'Resultater - Vestdanmark'!J346+'Resultater - Østdanmark'!J346</f>
        <v>-44552.875244578274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20577.245077541484</v>
      </c>
      <c r="J347" s="282">
        <f>'Resultater - Vestdanmark'!J347+'Resultater - Østdanmark'!J347</f>
        <v>26674.20658199822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832681.84288694861</v>
      </c>
      <c r="J348" s="282">
        <f>'Resultater - Vestdanmark'!J348+'Resultater - Østdanmark'!J348</f>
        <v>780862.4344128652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-1708861.990999335</v>
      </c>
      <c r="J349" s="282">
        <f>'Resultater - Vestdanmark'!J349+'Resultater - Østdanmark'!J349</f>
        <v>-1602516.1900264022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30537.276277430748</v>
      </c>
      <c r="J350" s="282">
        <f>'Resultater - Vestdanmark'!J350+'Resultater - Østdanmark'!J350</f>
        <v>28636.882259446902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26748.811950428641</v>
      </c>
      <c r="J351" s="282">
        <f>'Resultater - Vestdanmark'!J351+'Resultater - Østdanmark'!J351</f>
        <v>25511.872669483968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-41587.083256263431</v>
      </c>
      <c r="J352" s="282">
        <f>'Resultater - Vestdanmark'!J352+'Resultater - Østdanmark'!J352</f>
        <v>-39663.981140366857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4433.887713134528</v>
      </c>
      <c r="J353" s="282">
        <f>'Resultater - Vestdanmark'!J353+'Resultater - Østdanmark'!J353</f>
        <v>4228.8524431629894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17533.026612413661</v>
      </c>
      <c r="J354" s="282">
        <f>'Resultater - Vestdanmark'!J354+'Resultater - Østdanmark'!J354</f>
        <v>16722.250815307831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-21028.416779280778</v>
      </c>
      <c r="J355" s="282">
        <f>'Resultater - Vestdanmark'!J355+'Resultater - Østdanmark'!J355</f>
        <v>-20056.004442666643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6659.3945341684866</v>
      </c>
      <c r="J356" s="282">
        <f>'Resultater - Vestdanmark'!J356+'Resultater - Østdanmark'!J356</f>
        <v>6351.4456539757248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74074.991688035487</v>
      </c>
      <c r="J357" s="282">
        <f>'Resultater - Vestdanmark'!J357+'Resultater - Østdanmark'!J357</f>
        <v>94413.367069919143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-152019.57249410267</v>
      </c>
      <c r="J358" s="282">
        <f>'Resultater - Vestdanmark'!J358+'Resultater - Østdanmark'!J358</f>
        <v>-193758.77570319222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4765.9332918533546</v>
      </c>
      <c r="J359" s="282">
        <f>'Resultater - Vestdanmark'!J359+'Resultater - Østdanmark'!J359</f>
        <v>6074.4901762463114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2379.5619417173225</v>
      </c>
      <c r="J360" s="282">
        <f>'Resultater - Vestdanmark'!J360+'Resultater - Østdanmark'!J360</f>
        <v>3084.6173318557881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-3699.5676954560363</v>
      </c>
      <c r="J361" s="282">
        <f>'Resultater - Vestdanmark'!J361+'Resultater - Østdanmark'!J361</f>
        <v>-4795.7359015170832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691.99403615394374</v>
      </c>
      <c r="J362" s="282">
        <f>'Resultater - Vestdanmark'!J362+'Resultater - Østdanmark'!J362</f>
        <v>897.02930612548255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1559.7299396823485</v>
      </c>
      <c r="J363" s="282">
        <f>'Resultater - Vestdanmark'!J363+'Resultater - Østdanmark'!J363</f>
        <v>2021.8721440326738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-1870.678232561452</v>
      </c>
      <c r="J364" s="282">
        <f>'Resultater - Vestdanmark'!J364+'Resultater - Østdanmark'!J364</f>
        <v>-2424.9532644315118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1039.3274706505731</v>
      </c>
      <c r="J365" s="282">
        <f>'Resultater - Vestdanmark'!J365+'Resultater - Østdanmark'!J365</f>
        <v>1347.2763508433356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156643.47190119475</v>
      </c>
      <c r="J366" s="282">
        <f>'Resultater - Vestdanmark'!J366+'Resultater - Østdanmark'!J366</f>
        <v>146964.55359536136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-718923.39715846837</v>
      </c>
      <c r="J367" s="282">
        <f>'Resultater - Vestdanmark'!J367+'Resultater - Østdanmark'!J367</f>
        <v>-674501.49597871071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11776.530603732615</v>
      </c>
      <c r="J368" s="282">
        <f>'Resultater - Vestdanmark'!J368+'Resultater - Østdanmark'!J368</f>
        <v>11048.864929215571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21901.094573449609</v>
      </c>
      <c r="J369" s="282">
        <f>'Resultater - Vestdanmark'!J369+'Resultater - Østdanmark'!J369</f>
        <v>20888.327194330555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-83763.514693230798</v>
      </c>
      <c r="J370" s="282">
        <f>'Resultater - Vestdanmark'!J370+'Resultater - Østdanmark'!J370</f>
        <v>-79890.057366376175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7442.1749400467033</v>
      </c>
      <c r="J371" s="282">
        <f>'Resultater - Vestdanmark'!J371+'Resultater - Østdanmark'!J371</f>
        <v>7098.0281220098623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20669.578921354339</v>
      </c>
      <c r="J372" s="282">
        <f>'Resultater - Vestdanmark'!J372+'Resultater - Østdanmark'!J372</f>
        <v>19713.760242910204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-67760.080152627503</v>
      </c>
      <c r="J373" s="282">
        <f>'Resultater - Vestdanmark'!J373+'Resultater - Østdanmark'!J373</f>
        <v>-64626.666041523327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16093.975790220891</v>
      </c>
      <c r="J374" s="282">
        <f>'Resultater - Vestdanmark'!J374+'Resultater - Østdanmark'!J374</f>
        <v>15349.745695875414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13934.9308240427</v>
      </c>
      <c r="J375" s="282">
        <f>'Resultater - Vestdanmark'!J375+'Resultater - Østdanmark'!J375</f>
        <v>17769.350571075505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-63955.09296109149</v>
      </c>
      <c r="J376" s="282">
        <f>'Resultater - Vestdanmark'!J376+'Resultater - Østdanmark'!J376</f>
        <v>-81553.362695607735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1837.9556433571138</v>
      </c>
      <c r="J377" s="282">
        <f>'Resultater - Vestdanmark'!J377+'Resultater - Østdanmark'!J377</f>
        <v>2343.6986213487576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1948.3112455802861</v>
      </c>
      <c r="J378" s="282">
        <f>'Resultater - Vestdanmark'!J378+'Resultater - Østdanmark'!J378</f>
        <v>2525.5886516781484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-7451.5635325365429</v>
      </c>
      <c r="J379" s="282">
        <f>'Resultater - Vestdanmark'!J379+'Resultater - Østdanmark'!J379</f>
        <v>-9659.4342088436642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1161.4955108743411</v>
      </c>
      <c r="J380" s="282">
        <f>'Resultater - Vestdanmark'!J380+'Resultater - Østdanmark'!J380</f>
        <v>1505.6423289111826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1838.7561826568972</v>
      </c>
      <c r="J381" s="282">
        <f>'Resultater - Vestdanmark'!J381+'Resultater - Østdanmark'!J381</f>
        <v>2383.5728293700517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-6027.9053962366306</v>
      </c>
      <c r="J382" s="282">
        <f>'Resultater - Vestdanmark'!J382+'Resultater - Østdanmark'!J382</f>
        <v>-7813.9514395660026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2511.7765684159772</v>
      </c>
      <c r="J383" s="282">
        <f>'Resultater - Vestdanmark'!J383+'Resultater - Østdanmark'!J383</f>
        <v>3256.0066627614515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2149257.1655585216</v>
      </c>
      <c r="J384" s="282">
        <f>'Resultater - Vestdanmark'!J384+'Resultater - Østdanmark'!J384</f>
        <v>2016588.5066376149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-7269412.8801644929</v>
      </c>
      <c r="J385" s="282">
        <f>'Resultater - Vestdanmark'!J385+'Resultater - Østdanmark'!J385</f>
        <v>-6820688.8868664792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285788.87906931207</v>
      </c>
      <c r="J386" s="282">
        <f>'Resultater - Vestdanmark'!J386+'Resultater - Østdanmark'!J386</f>
        <v>268147.79454568226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350840.45448944706</v>
      </c>
      <c r="J387" s="282">
        <f>'Resultater - Vestdanmark'!J387+'Resultater - Østdanmark'!J387</f>
        <v>334616.61844369222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-988870.38725834386</v>
      </c>
      <c r="J388" s="282">
        <f>'Resultater - Vestdanmark'!J388+'Resultater - Østdanmark'!J388</f>
        <v>-943142.2768648942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210860.67676010903</v>
      </c>
      <c r="J389" s="282">
        <f>'Resultater - Vestdanmark'!J389+'Resultater - Østdanmark'!J389</f>
        <v>201109.89401975714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429568.92499191454</v>
      </c>
      <c r="J390" s="282">
        <f>'Resultater - Vestdanmark'!J390+'Resultater - Østdanmark'!J390</f>
        <v>409704.46603275085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-1037805.0367140775</v>
      </c>
      <c r="J391" s="282">
        <f>'Resultater - Vestdanmark'!J391+'Resultater - Østdanmark'!J391</f>
        <v>-989814.05235735723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591584.03938923345</v>
      </c>
      <c r="J392" s="282">
        <f>'Resultater - Vestdanmark'!J392+'Resultater - Østdanmark'!J392</f>
        <v>564227.55201863311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335433.19924901793</v>
      </c>
      <c r="J393" s="282">
        <f>'Resultater - Vestdanmark'!J393+'Resultater - Østdanmark'!J393</f>
        <v>427761.19837767596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-1134532.6460372331</v>
      </c>
      <c r="J394" s="282">
        <f>'Resultater - Vestdanmark'!J394+'Resultater - Østdanmark'!J394</f>
        <v>-1446812.7941837986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44602.888640875302</v>
      </c>
      <c r="J395" s="282">
        <f>'Resultater - Vestdanmark'!J395+'Resultater - Østdanmark'!J395</f>
        <v>56879.835206659875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54755.446654422383</v>
      </c>
      <c r="J396" s="282">
        <f>'Resultater - Vestdanmark'!J396+'Resultater - Østdanmark'!J396</f>
        <v>70979.282700177151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-154332.37257789183</v>
      </c>
      <c r="J397" s="282">
        <f>'Resultater - Vestdanmark'!J397+'Resultater - Østdanmark'!J397</f>
        <v>-200060.4829713412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32908.891748687536</v>
      </c>
      <c r="J398" s="282">
        <f>'Resultater - Vestdanmark'!J398+'Resultater - Østdanmark'!J398</f>
        <v>42659.674489039389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67042.548987177404</v>
      </c>
      <c r="J399" s="282">
        <f>'Resultater - Vestdanmark'!J399+'Resultater - Østdanmark'!J399</f>
        <v>86907.007946341095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-161969.57220393119</v>
      </c>
      <c r="J400" s="282">
        <f>'Resultater - Vestdanmark'!J400+'Resultater - Østdanmark'!J400</f>
        <v>-209960.55656065154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92328.144875776328</v>
      </c>
      <c r="J401" s="282">
        <f>'Resultater - Vestdanmark'!J401+'Resultater - Østdanmark'!J401</f>
        <v>119684.63224637671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783291.25515859458</v>
      </c>
      <c r="J402" s="282">
        <f>'Resultater - Vestdanmark'!J402+'Resultater - Østdanmark'!J402</f>
        <v>712825.86568798381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848565.52642181097</v>
      </c>
      <c r="J403" s="282">
        <f>'Resultater - Vestdanmark'!J403+'Resultater - Østdanmark'!J403</f>
        <v>772228.02116198244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4019968.1027908651</v>
      </c>
      <c r="J404" s="282">
        <f>'Resultater - Vestdanmark'!J404+'Resultater - Østdanmark'!J404</f>
        <v>3945296.1183936791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156497.77902315825</v>
      </c>
      <c r="J405" s="282">
        <f>'Resultater - Vestdanmark'!J405+'Resultater - Østdanmark'!J405</f>
        <v>153590.79085444653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20563.808163642996</v>
      </c>
      <c r="J406" s="282">
        <f>'Resultater - Vestdanmark'!J406+'Resultater - Østdanmark'!J406</f>
        <v>20181.829918274274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2083445.2791123071</v>
      </c>
      <c r="J407" s="282">
        <f>'Resultater - Vestdanmark'!J407+'Resultater - Østdanmark'!J407</f>
        <v>2044744.7249297362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1893219.7653721168</v>
      </c>
      <c r="J408" s="282">
        <f>'Resultater - Vestdanmark'!J408+'Resultater - Østdanmark'!J408</f>
        <v>1841201.8445695294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36271.11801266433</v>
      </c>
      <c r="J409" s="282">
        <f>'Resultater - Vestdanmark'!J409+'Resultater - Østdanmark'!J409</f>
        <v>35274.536327477232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168844.62070164204</v>
      </c>
      <c r="J410" s="282">
        <f>'Resultater - Vestdanmark'!J410+'Resultater - Østdanmark'!J410</f>
        <v>164205.46244424098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166599.06209826362</v>
      </c>
      <c r="J411" s="282">
        <f>'Resultater - Vestdanmark'!J411+'Resultater - Østdanmark'!J411</f>
        <v>162021.60258906108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136456.72063438955</v>
      </c>
      <c r="J412" s="282">
        <f>'Resultater - Vestdanmark'!J412+'Resultater - Østdanmark'!J412</f>
        <v>132112.41514111587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66182.615315787814</v>
      </c>
      <c r="J413" s="282">
        <f>'Resultater - Vestdanmark'!J413+'Resultater - Østdanmark'!J413</f>
        <v>64075.59194648124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8735.884060062217</v>
      </c>
      <c r="J414" s="282">
        <f>'Resultater - Vestdanmark'!J414+'Resultater - Østdanmark'!J414</f>
        <v>8457.7640163275155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89791.618440133156</v>
      </c>
      <c r="J415" s="282">
        <f>'Resultater - Vestdanmark'!J415+'Resultater - Østdanmark'!J415</f>
        <v>86932.966851366335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236247.52226772945</v>
      </c>
      <c r="J416" s="282">
        <f>'Resultater - Vestdanmark'!J416+'Resultater - Østdanmark'!J416</f>
        <v>225880.63937128911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871.39509065374796</v>
      </c>
      <c r="J417" s="285">
        <f>'Resultater - Vestdanmark'!J417+'Resultater - Østdanmark'!J417</f>
        <v>833.15701401858678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7128058911.7345467</v>
      </c>
      <c r="J418" s="279">
        <f>'Resultater - Vestdanmark'!J418+'Resultater - Østdanmark'!J418</f>
        <v>7128058911.7345467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197934585.42574769</v>
      </c>
      <c r="J419" s="282">
        <f>'Resultater - Vestdanmark'!J419+'Resultater - Østdanmark'!J419</f>
        <v>197934585.42574769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94139619.897611693</v>
      </c>
      <c r="J421" s="282">
        <f>'Resultater - Vestdanmark'!J421+'Resultater - Østdanmark'!J421</f>
        <v>94139619.897611693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172589303.14562145</v>
      </c>
      <c r="J422" s="282">
        <f>'Resultater - Vestdanmark'!J422+'Resultater - Østdanmark'!J422</f>
        <v>172589303.14562148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2019174154.9833891</v>
      </c>
      <c r="J423" s="282">
        <f>'Resultater - Vestdanmark'!J423+'Resultater - Østdanmark'!J423</f>
        <v>2019174154.9833891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290867287.11954385</v>
      </c>
      <c r="J424" s="282">
        <f>'Resultater - Vestdanmark'!J424+'Resultater - Østdanmark'!J424</f>
        <v>290867287.11954385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2742118159.0688944</v>
      </c>
      <c r="J427" s="282">
        <f>'Resultater - Vestdanmark'!J427+'Resultater - Østdanmark'!J427</f>
        <v>2742118159.0688944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196727667.22193214</v>
      </c>
      <c r="J428" s="282">
        <f>'Resultater - Vestdanmark'!J428+'Resultater - Østdanmark'!J428</f>
        <v>196727667.22193214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146037102.66167969</v>
      </c>
      <c r="J431" s="282">
        <f>'Resultater - Vestdanmark'!J431+'Resultater - Østdanmark'!J431</f>
        <v>146037102.66167969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4834914324.4850321</v>
      </c>
      <c r="J432" s="282">
        <f>'Resultater - Vestdanmark'!J432+'Resultater - Østdanmark'!J432</f>
        <v>4834914324.4850321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12195000.399999999</v>
      </c>
      <c r="J433" s="282">
        <f>'Resultater - Vestdanmark'!J433+'Resultater - Østdanmark'!J433</f>
        <v>12195000.400000002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361184.40000000008</v>
      </c>
      <c r="J434" s="282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4390946.2500000009</v>
      </c>
      <c r="J435" s="282">
        <f>'Resultater - Vestdanmark'!J435+'Resultater - Østdanmark'!J435</f>
        <v>4390946.25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131721703.16226736</v>
      </c>
      <c r="J436" s="282">
        <f>'Resultater - Vestdanmark'!J436+'Resultater - Østdanmark'!J436</f>
        <v>126107269.64474285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-139708.42959281162</v>
      </c>
      <c r="J437" s="288">
        <f>'Resultater - Vestdanmark'!J437+'Resultater - Østdanmark'!J437</f>
        <v>-133753.57423522248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178823711.43955845</v>
      </c>
      <c r="J438" s="282">
        <f>'Resultater - Vestdanmark'!J438+'Resultater - Østdanmark'!J438</f>
        <v>175406726.56304315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-373200.70706487534</v>
      </c>
      <c r="J439" s="288">
        <f>'Resultater - Vestdanmark'!J439+'Resultater - Østdanmark'!J439</f>
        <v>-366069.54329649277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71077.414557088938</v>
      </c>
      <c r="J440" s="282">
        <f>'Resultater - Vestdanmark'!J440+'Resultater - Østdanmark'!J440</f>
        <v>73401.632742028654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108395313.40983701</v>
      </c>
      <c r="J441" s="282">
        <f>'Resultater - Vestdanmark'!J441+'Resultater - Østdanmark'!J441</f>
        <v>113581290.04936469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33002599.999999996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2165561.9999999995</v>
      </c>
      <c r="J443" s="282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74480686.959999979</v>
      </c>
      <c r="J445" s="282">
        <f>'Resultater - Vestdanmark'!J445+'Resultater - Østdanmark'!J445</f>
        <v>74179468.039999992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38714582.110441938</v>
      </c>
      <c r="J451" s="282">
        <f>'Resultater - Vestdanmark'!J451+'Resultater - Østdanmark'!J451</f>
        <v>40315367.435598418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27591344.701733001</v>
      </c>
      <c r="J452" s="288">
        <f ca="1">'Resultater - Vestdanmark'!J452+'Resultater - Østdanmark'!J452</f>
        <v>27126557.620579563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51591000.405221365</v>
      </c>
      <c r="J453" s="288">
        <f>'Resultater - Vestdanmark'!J453+'Resultater - Østdanmark'!J453</f>
        <v>49392013.944190934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21226554.773340642</v>
      </c>
      <c r="J454" s="288">
        <f>'Resultater - Vestdanmark'!J454+'Resultater - Østdanmark'!J454</f>
        <v>20820955.224728525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28756.511233020712</v>
      </c>
      <c r="J455" s="288">
        <f>'Resultater - Vestdanmark'!J455+'Resultater - Østdanmark'!J455</f>
        <v>29696.843781126099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9574919.3512022682</v>
      </c>
      <c r="J456" s="288">
        <f>'Resultater - Vestdanmark'!J456+'Resultater - Østdanmark'!J456</f>
        <v>10033013.954360548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172801555.89384663</v>
      </c>
      <c r="J457" s="288">
        <f ca="1">'Resultater - Vestdanmark'!J457+'Resultater - Østdanmark'!J457</f>
        <v>168584806.91208294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117557629.04116613</v>
      </c>
      <c r="J458" s="288">
        <f ca="1">'Resultater - Vestdanmark'!J458+'Resultater - Østdanmark'!J458</f>
        <v>113288322.84227061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15.119629811527567</v>
      </c>
      <c r="J459" s="292">
        <f>'Resultater - Vestdanmark'!J459+'Resultater - Østdanmark'!J459</f>
        <v>14.075364871958367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3.951047127829578</v>
      </c>
      <c r="I460" s="291">
        <f>'Resultater - Vestdanmark'!I460+'Resultater - Østdanmark'!I460</f>
        <v>7.9766231601288453</v>
      </c>
      <c r="J460" s="292">
        <f>'Resultater - Vestdanmark'!J460+'Resultater - Østdanmark'!J460</f>
        <v>7.7078751185296177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3.9916250431283249</v>
      </c>
      <c r="J461" s="292">
        <f>'Resultater - Vestdanmark'!J461+'Resultater - Østdanmark'!J461</f>
        <v>3.8685108167589539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41.288597648257841</v>
      </c>
      <c r="J462" s="292">
        <f>'Resultater - Vestdanmark'!J462+'Resultater - Østdanmark'!J462</f>
        <v>37.483941353749458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24.368472198837154</v>
      </c>
      <c r="J467" s="295">
        <f ca="1">'Resultater - Vestdanmark'!J467+'Resultater - Østdanmark'!J467</f>
        <v>24.297327254934743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356099.24822003779</v>
      </c>
      <c r="J471" s="298">
        <f>'Resultater - Vestdanmark'!J471+'Resultater - Østdanmark'!J471</f>
        <v>344101.56779150077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227903.51886082417</v>
      </c>
      <c r="J472" s="298">
        <f>'Resultater - Vestdanmark'!J472+'Resultater - Østdanmark'!J472</f>
        <v>220225.00338656051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321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hidden="1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O5*IFERROR(VLOOKUP(A5,[1]Tørstofindhold!A$2:B$24,2,FALSE),0)</f>
        <v>0</v>
      </c>
      <c r="V5" s="192">
        <f ca="1">IF(D5=År1,P5,SUM(O5,P5))*IFERROR(VLOOKUP(A5,[1]Tørstofindhold!A$2:B$24,2,FALSE),0)</f>
        <v>110192.22039498243</v>
      </c>
      <c r="W5" s="192">
        <f ca="1">J5*IFERROR(VLOOKUP(A5,[1]Tørstofindhold!A$2:B$24,2,FALSE),0)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O6*IFERROR(VLOOKUP(A6,[1]Tørstofindhold!A$2:B$24,2,FALSE),0)</f>
        <v>0</v>
      </c>
      <c r="V6" s="192">
        <f ca="1"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O8*IFERROR(VLOOKUP(A8,[1]Tørstofindhold!A$2:B$24,2,FALSE),0)</f>
        <v>0</v>
      </c>
      <c r="V8" s="192">
        <f>IF(D8=År1,P8,SUM(O8,P8))*IFERROR(VLOOKUP(A8,[1]Tørstofindhold!A$2:B$24,2,FALSE),0)</f>
        <v>0</v>
      </c>
      <c r="W8" s="192">
        <f>J8*IFERROR(VLOOKUP(A8,[1]Tørstofindhold!A$2:B$24,2,FALSE),0)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O9*IFERROR(VLOOKUP(A9,[1]Tørstofindhold!A$2:B$24,2,FALSE),0)</f>
        <v>359642.22916334897</v>
      </c>
      <c r="V9" s="192">
        <f>IF(D9=År1,P9,SUM(O9,P9))*IFERROR(VLOOKUP(A9,[1]Tørstofindhold!A$2:B$24,2,FALSE),0)</f>
        <v>201358.40146508775</v>
      </c>
      <c r="W9" s="192">
        <f>J9*IFERROR(VLOOKUP(A9,[1]Tørstofindhold!A$2:B$24,2,FALSE),0)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O11*IFERROR(VLOOKUP(A11,[1]Tørstofindhold!A$2:B$24,2,FALSE),0)</f>
        <v>62.788234524127645</v>
      </c>
      <c r="V11" s="192">
        <f>IF(D11=År1,P11,SUM(O11,P11))*IFERROR(VLOOKUP(A11,[1]Tørstofindhold!A$2:B$24,2,FALSE),0)</f>
        <v>258.53978921699621</v>
      </c>
      <c r="W11" s="192">
        <f>J11*IFERROR(VLOOKUP(A11,[1]Tørstofindhold!A$2:B$24,2,FALSE),0)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hidden="1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O16*IFERROR(VLOOKUP(A16,[1]Tørstofindhold!A$2:B$24,2,FALSE),0)</f>
        <v>994049.13870830298</v>
      </c>
      <c r="V16" s="192">
        <f>IF(D16=År1,P16,SUM(O16,P16))*IFERROR(VLOOKUP(A16,[1]Tørstofindhold!A$2:B$24,2,FALSE),0)</f>
        <v>21208.925891905561</v>
      </c>
      <c r="W16" s="192">
        <f>J16*IFERROR(VLOOKUP(A16,[1]Tørstofindhold!A$2:B$24,2,FALSE),0)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O19*IFERROR(VLOOKUP(A19,[1]Tørstofindhold!A$2:B$24,2,FALSE),0)</f>
        <v>0</v>
      </c>
      <c r="V19" s="192">
        <f>IF(D19=År1,P19,SUM(O19,P19))*IFERROR(VLOOKUP(A19,[1]Tørstofindhold!A$2:B$24,2,FALSE),0)</f>
        <v>1030819.8252529224</v>
      </c>
      <c r="W19" s="192">
        <f>J19*IFERROR(VLOOKUP(A19,[1]Tørstofindhold!A$2:B$24,2,FALSE),0)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O20*IFERROR(VLOOKUP(A20,[1]Tørstofindhold!A$2:B$24,2,FALSE),0)</f>
        <v>0</v>
      </c>
      <c r="V20" s="192">
        <f>IF(D20=År1,P20,SUM(O20,P20))*IFERROR(VLOOKUP(A20,[1]Tørstofindhold!A$2:B$24,2,FALSE),0)</f>
        <v>159138.74629869961</v>
      </c>
      <c r="W20" s="192">
        <f>J20*IFERROR(VLOOKUP(A20,[1]Tørstofindhold!A$2:B$24,2,FALSE),0)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O22*IFERROR(VLOOKUP(A22,[1]Tørstofindhold!A$2:B$24,2,FALSE),0)</f>
        <v>0</v>
      </c>
      <c r="V22" s="192">
        <f>IF(D22=År1,P22,SUM(O22,P22))*IFERROR(VLOOKUP(A22,[1]Tørstofindhold!A$2:B$24,2,FALSE),0)</f>
        <v>300763.57585499104</v>
      </c>
      <c r="W22" s="192">
        <f>J22*IFERROR(VLOOKUP(A22,[1]Tørstofindhold!A$2:B$24,2,FALSE),0)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O25*IFERROR(VLOOKUP(A25,[1]Tørstofindhold!A$2:B$24,2,FALSE),0)</f>
        <v>206337.459594888</v>
      </c>
      <c r="V25" s="192">
        <f>IF(D25=År1,P25,SUM(O25,P25))*IFERROR(VLOOKUP(A25,[1]Tørstofindhold!A$2:B$24,2,FALSE),0)</f>
        <v>880.45745202057424</v>
      </c>
      <c r="W25" s="192">
        <f>J25*IFERROR(VLOOKUP(A25,[1]Tørstofindhold!A$2:B$24,2,FALSE),0)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O27*IFERROR(VLOOKUP(A27,[1]Tørstofindhold!A$2:B$24,2,FALSE),0)</f>
        <v>232339.01261192418</v>
      </c>
      <c r="V27" s="192">
        <f>IF(D27=År1,P27,SUM(O27,P27))*IFERROR(VLOOKUP(A27,[1]Tørstofindhold!A$2:B$24,2,FALSE),0)</f>
        <v>309081.71011804708</v>
      </c>
      <c r="W27" s="192">
        <f>J27*IFERROR(VLOOKUP(A27,[1]Tørstofindhold!A$2:B$24,2,FALSE),0)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hidden="1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O29*IFERROR(VLOOKUP(A29,[1]Tørstofindhold!A$2:B$24,2,FALSE),0)</f>
        <v>379878.67388024763</v>
      </c>
      <c r="V29" s="192">
        <f>IF(D29=År1,P29,SUM(O29,P29))*IFERROR(VLOOKUP(A29,[1]Tørstofindhold!A$2:B$24,2,FALSE),0)</f>
        <v>94446.430479468312</v>
      </c>
      <c r="W29" s="192">
        <f>J29*IFERROR(VLOOKUP(A29,[1]Tørstofindhold!A$2:B$24,2,FALSE),0)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O31*IFERROR(VLOOKUP(A31,[1]Tørstofindhold!A$2:B$24,2,FALSE),0)</f>
        <v>131.83534701746427</v>
      </c>
      <c r="V31" s="192">
        <f>IF(D31=År1,P31,SUM(O31,P31))*IFERROR(VLOOKUP(A31,[1]Tørstofindhold!A$2:B$24,2,FALSE),0)</f>
        <v>0</v>
      </c>
      <c r="W31" s="192">
        <f>J31*IFERROR(VLOOKUP(A31,[1]Tørstofindhold!A$2:B$24,2,FALSE),0)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O34*IFERROR(VLOOKUP(A34,[1]Tørstofindhold!A$2:B$24,2,FALSE),0)</f>
        <v>0</v>
      </c>
      <c r="V34" s="192">
        <f>IF(D34=År1,P34,SUM(O34,P34))*IFERROR(VLOOKUP(A34,[1]Tørstofindhold!A$2:B$24,2,FALSE),0)</f>
        <v>71465.1029917407</v>
      </c>
      <c r="W34" s="192">
        <f>J34*IFERROR(VLOOKUP(A34,[1]Tørstofindhold!A$2:B$24,2,FALSE),0)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4" t="s">
        <v>316</v>
      </c>
      <c r="B35" s="194" t="s">
        <v>322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O35*IFERROR(VLOOKUP(A35,[1]Tørstofindhold!A$2:B$24,2,FALSE),0)</f>
        <v>0</v>
      </c>
      <c r="V35" s="192">
        <f>IF(D35=År1,P35,SUM(O35,P35))*IFERROR(VLOOKUP(A35,[1]Tørstofindhold!A$2:B$24,2,FALSE),0)</f>
        <v>0</v>
      </c>
      <c r="W35" s="192">
        <f>J35*IFERROR(VLOOKUP(A35,[1]Tørstofindhold!A$2:B$24,2,FALSE),0)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4" t="s">
        <v>317</v>
      </c>
      <c r="B36" s="194" t="s">
        <v>322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O36*IFERROR(VLOOKUP(A36,[1]Tørstofindhold!A$2:B$24,2,FALSE),0)</f>
        <v>0</v>
      </c>
      <c r="V36" s="192">
        <f>IF(D36=År1,P36,SUM(O36,P36))*IFERROR(VLOOKUP(A36,[1]Tørstofindhold!A$2:B$24,2,FALSE),0)</f>
        <v>0</v>
      </c>
      <c r="W36" s="192">
        <f>J36*IFERROR(VLOOKUP(A36,[1]Tørstofindhold!A$2:B$24,2,FALSE),0)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4">
        <f t="shared" si="9"/>
        <v>0</v>
      </c>
      <c r="O40" s="195">
        <f t="shared" si="1"/>
        <v>0</v>
      </c>
      <c r="P40" s="205">
        <f t="shared" si="10"/>
        <v>80676.325166481722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2.8236713808268599</v>
      </c>
      <c r="U40" s="191">
        <f>O40*IFERROR(VLOOKUP(A40,[1]Tørstofindhold!A$2:B$24,2,FALSE),0)</f>
        <v>0</v>
      </c>
      <c r="V40" s="192">
        <f>IF(D40=År1,P40,SUM(O40,P40))*IFERROR(VLOOKUP(A40,[1]Tørstofindhold!A$2:B$24,2,FALSE),0)</f>
        <v>0</v>
      </c>
      <c r="W40" s="192">
        <f>J40*IFERROR(VLOOKUP(A40,[1]Tørstofindhold!A$2:B$24,2,FALSE),0)</f>
        <v>0</v>
      </c>
      <c r="X40" s="193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O41*IFERROR(VLOOKUP(A41,[1]Tørstofindhold!A$2:B$24,2,FALSE),0)</f>
        <v>0</v>
      </c>
      <c r="V41" s="192">
        <f>IF(D41=År1,P41,SUM(O41,P41))*IFERROR(VLOOKUP(A41,[1]Tørstofindhold!A$2:B$24,2,FALSE),0)</f>
        <v>820.20978483944555</v>
      </c>
      <c r="W41" s="192">
        <f>J41*IFERROR(VLOOKUP(A41,[1]Tørstofindhold!A$2:B$24,2,FALSE),0)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O44*IFERROR(VLOOKUP(A44,[1]Tørstofindhold!A$2:B$24,2,FALSE),0)</f>
        <v>143400.83716653602</v>
      </c>
      <c r="V44" s="192">
        <f>IF(D44=År1,P44,SUM(O44,P44))*IFERROR(VLOOKUP(A44,[1]Tørstofindhold!A$2:B$24,2,FALSE),0)</f>
        <v>87610.955247949008</v>
      </c>
      <c r="W44" s="192">
        <f>J44*IFERROR(VLOOKUP(A44,[1]Tørstofindhold!A$2:B$24,2,FALSE),0)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O45*IFERROR(VLOOKUP(A45,[1]Tørstofindhold!A$2:B$24,2,FALSE),0)</f>
        <v>0</v>
      </c>
      <c r="V45" s="192">
        <f>IF(D45=År1,P45,SUM(O45,P45))*IFERROR(VLOOKUP(A45,[1]Tørstofindhold!A$2:B$24,2,FALSE),0)</f>
        <v>126722.10364886111</v>
      </c>
      <c r="W45" s="192">
        <f>J45*IFERROR(VLOOKUP(A45,[1]Tørstofindhold!A$2:B$24,2,FALSE),0)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O47*IFERROR(VLOOKUP(A47,[1]Tørstofindhold!A$2:B$24,2,FALSE),0)</f>
        <v>11.475</v>
      </c>
      <c r="V47" s="192">
        <f>IF(D47=År1,P47,SUM(O47,P47))*IFERROR(VLOOKUP(A47,[1]Tørstofindhold!A$2:B$24,2,FALSE),0)</f>
        <v>0</v>
      </c>
      <c r="W47" s="192">
        <f>J47*IFERROR(VLOOKUP(A47,[1]Tørstofindhold!A$2:B$24,2,FALSE),0)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O49*IFERROR(VLOOKUP(A49,[1]Tørstofindhold!A$2:B$24,2,FALSE),0)</f>
        <v>0</v>
      </c>
      <c r="V49" s="192">
        <f>IF(D49=År1,P49,SUM(O49,P49))*IFERROR(VLOOKUP(A49,[1]Tørstofindhold!A$2:B$24,2,FALSE),0)</f>
        <v>1151704.3763715085</v>
      </c>
      <c r="W49" s="192">
        <f>J49*IFERROR(VLOOKUP(A49,[1]Tørstofindhold!A$2:B$24,2,FALSE),0)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hidden="1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256550.33982346478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223970.55527046492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192720.27249101651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O53*IFERROR(VLOOKUP(A53,[1]Tørstofindhold!A$2:B$24,2,FALSE),0)</f>
        <v>0</v>
      </c>
      <c r="V53" s="192">
        <f ca="1">IF(D53=År1,P53,SUM(O53,P53))*IFERROR(VLOOKUP(A53,[1]Tørstofindhold!A$2:B$24,2,FALSE),0)</f>
        <v>54623.027516061207</v>
      </c>
      <c r="W53" s="192">
        <f ca="1">J53*IFERROR(VLOOKUP(A53,[1]Tørstofindhold!A$2:B$24,2,FALSE),0)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564672636.49941862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564672636.49941862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564672636.49941862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O54*IFERROR(VLOOKUP(A54,[1]Tørstofindhold!A$2:B$24,2,FALSE),0)</f>
        <v>0</v>
      </c>
      <c r="V54" s="192">
        <f ca="1"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23750220.038901571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21249287.826149497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2500932.212752074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O56*IFERROR(VLOOKUP(A56,[1]Tørstofindhold!A$2:B$24,2,FALSE),0)</f>
        <v>0</v>
      </c>
      <c r="V56" s="192">
        <f>IF(D56=År1,P56,SUM(O56,P56))*IFERROR(VLOOKUP(A56,[1]Tørstofindhold!A$2:B$24,2,FALSE),0)</f>
        <v>0</v>
      </c>
      <c r="W56" s="192">
        <f>J56*IFERROR(VLOOKUP(A56,[1]Tørstofindhold!A$2:B$24,2,FALSE),0)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hidden="1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3183510.9821506157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989162.34088251274</v>
      </c>
      <c r="O57" s="195">
        <f t="shared" si="1"/>
        <v>989162.34088251274</v>
      </c>
      <c r="P57" s="205">
        <f t="shared" si="10"/>
        <v>1591755.4910753078</v>
      </c>
      <c r="Q57" s="192">
        <f>IFERROR(VLOOKUP(A57,[1]Energiindhold!$A$2:$C$11,3,FALSE),IFERROR(VLOOKUP(A57,[1]Biogasudbytte!$A$2:$B$18,2,FALSE)*[1]Energiindhold!$C$10,0))*O57</f>
        <v>2.1306556822609326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92">
        <f>IFERROR(VLOOKUP(A57,[1]Biogasudbytte!$A$2:$B$18,2,FALSE)*[1]Energiindhold!$C$10,0)*J57*IFERROR(VLOOKUP(A57,Biogasanlæg!$F$3:$G$8,2,FALSE),1)</f>
        <v>3.4286413277762131</v>
      </c>
      <c r="T57" s="193">
        <f t="shared" si="11"/>
        <v>2.1306556822609322</v>
      </c>
      <c r="U57" s="191">
        <f>O57*IFERROR(VLOOKUP(A57,[1]Tørstofindhold!A$2:B$24,2,FALSE),0)</f>
        <v>296748.70226475381</v>
      </c>
      <c r="V57" s="192">
        <f>IF(D57=År1,P57,SUM(O57,P57))*IFERROR(VLOOKUP(A57,[1]Tørstofindhold!A$2:B$24,2,FALSE),0)</f>
        <v>774275.34958734619</v>
      </c>
      <c r="W57" s="192">
        <f>J57*IFERROR(VLOOKUP(A57,[1]Tørstofindhold!A$2:B$24,2,FALSE),0)</f>
        <v>477526.64732259233</v>
      </c>
      <c r="X57" s="193">
        <f t="shared" si="12"/>
        <v>296748.70226475387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hidden="1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10011.271362654579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5005.6356813272896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3789.9813015763762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1215.654379750913</v>
      </c>
      <c r="O59" s="195">
        <f t="shared" si="1"/>
        <v>1215.654379750913</v>
      </c>
      <c r="P59" s="205">
        <f t="shared" si="10"/>
        <v>5005.6356813272896</v>
      </c>
      <c r="Q59" s="192">
        <f>IFERROR(VLOOKUP(A59,[1]Energiindhold!$A$2:$C$11,3,FALSE),IFERROR(VLOOKUP(A59,[1]Biogasudbytte!$A$2:$B$18,2,FALSE)*[1]Energiindhold!$C$10,0))*O59</f>
        <v>5.7171009825305685E-4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2.9258105028244679E-3</v>
      </c>
      <c r="S59" s="192">
        <f>IFERROR(VLOOKUP(A59,[1]Biogasudbytte!$A$2:$B$18,2,FALSE)*[1]Energiindhold!$C$10,0)*J59*IFERROR(VLOOKUP(A59,Biogasanlæg!$F$3:$G$8,2,FALSE),1)</f>
        <v>2.3541004045714111E-3</v>
      </c>
      <c r="T59" s="193">
        <f t="shared" si="11"/>
        <v>5.7171009825305675E-4</v>
      </c>
      <c r="U59" s="191">
        <f>O59*IFERROR(VLOOKUP(A59,[1]Tørstofindhold!A$2:B$24,2,FALSE),0)</f>
        <v>76.586225924307513</v>
      </c>
      <c r="V59" s="192">
        <f>IF(D59=År1,P59,SUM(O59,P59))*IFERROR(VLOOKUP(A59,[1]Tørstofindhold!A$2:B$24,2,FALSE),0)</f>
        <v>391.94127384792677</v>
      </c>
      <c r="W59" s="192">
        <f>J59*IFERROR(VLOOKUP(A59,[1]Tørstofindhold!A$2:B$24,2,FALSE),0)</f>
        <v>315.35504792361922</v>
      </c>
      <c r="X59" s="193">
        <f t="shared" si="12"/>
        <v>76.586225924307541</v>
      </c>
      <c r="Y59" s="171">
        <f t="shared" si="2"/>
        <v>0</v>
      </c>
      <c r="Z59" s="103">
        <f t="shared" si="3"/>
        <v>1</v>
      </c>
    </row>
    <row r="60" spans="1:26" hidden="1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217954.6674762161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182659.9008771329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925155.87360935542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-230805.95664197873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1702521.6516339555</v>
      </c>
      <c r="O64" s="195">
        <f t="shared" si="1"/>
        <v>1702521.6516339555</v>
      </c>
      <c r="P64" s="205">
        <f t="shared" si="10"/>
        <v>75614.059561949907</v>
      </c>
      <c r="Q64" s="192">
        <f>IFERROR(VLOOKUP(A64,[1]Energiindhold!$A$2:$C$11,3,FALSE),IFERROR(VLOOKUP(A64,[1]Biogasudbytte!$A$2:$B$18,2,FALSE)*[1]Energiindhold!$C$10,0))*O64</f>
        <v>3.132427023800024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3.2715474416365664</v>
      </c>
      <c r="S64" s="192">
        <f>IFERROR(VLOOKUP(A64,[1]Biogasudbytte!$A$2:$B$18,2,FALSE)*[1]Energiindhold!$C$10,0)*J64*IFERROR(VLOOKUP(A64,Biogasanlæg!$F$3:$G$8,2,FALSE),1)</f>
        <v>0.13912041783654258</v>
      </c>
      <c r="T64" s="193">
        <f t="shared" si="11"/>
        <v>3.132427023800024</v>
      </c>
      <c r="U64" s="191">
        <f>O64*IFERROR(VLOOKUP(A64,[1]Tørstofindhold!A$2:B$24,2,FALSE),0)</f>
        <v>476706.06245750759</v>
      </c>
      <c r="V64" s="192">
        <f>IF(D64=År1,P64,SUM(O64,P64))*IFERROR(VLOOKUP(A64,[1]Tørstofindhold!A$2:B$24,2,FALSE),0)</f>
        <v>497877.9991348536</v>
      </c>
      <c r="W64" s="192">
        <f>J64*IFERROR(VLOOKUP(A64,[1]Tørstofindhold!A$2:B$24,2,FALSE),0)</f>
        <v>21171.936677345977</v>
      </c>
      <c r="X64" s="193">
        <f t="shared" si="12"/>
        <v>476706.06245750759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-77897.638104550162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872369.9448285551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51993.557721309648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787117.71293108177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839111.27065239137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8.4352671837425373</v>
      </c>
      <c r="S67" s="192">
        <f>IFERROR(VLOOKUP(A67,[1]Biogasudbytte!$A$2:$B$18,2,FALSE)*[1]Energiindhold!$C$10,0)*J67*IFERROR(VLOOKUP(A67,Biogasanlæg!$F$3:$G$8,2,FALSE),1)</f>
        <v>0.29977093678451966</v>
      </c>
      <c r="T67" s="193">
        <f t="shared" si="11"/>
        <v>8.1354962469580183</v>
      </c>
      <c r="U67" s="191">
        <f>O67*IFERROR(VLOOKUP(A67,[1]Tørstofindhold!A$2:B$24,2,FALSE),0)</f>
        <v>0</v>
      </c>
      <c r="V67" s="192">
        <f>IF(D67=År1,P67,SUM(O67,P67))*IFERROR(VLOOKUP(A67,[1]Tørstofindhold!A$2:B$24,2,FALSE),0)</f>
        <v>713244.58005453262</v>
      </c>
      <c r="W67" s="192">
        <f>J67*IFERROR(VLOOKUP(A67,[1]Tørstofindhold!A$2:B$24,2,FALSE),0)</f>
        <v>44194.524063113196</v>
      </c>
      <c r="X67" s="193">
        <f t="shared" si="12"/>
        <v>669050.05599141947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O68*IFERROR(VLOOKUP(A68,[1]Tørstofindhold!A$2:B$24,2,FALSE),0)</f>
        <v>0</v>
      </c>
      <c r="V68" s="192">
        <f>IF(D68=År1,P68,SUM(O68,P68))*IFERROR(VLOOKUP(A68,[1]Tørstofindhold!A$2:B$24,2,FALSE),0)</f>
        <v>158020.23296051734</v>
      </c>
      <c r="W68" s="192">
        <f>J68*IFERROR(VLOOKUP(A68,[1]Tørstofindhold!A$2:B$24,2,FALSE),0)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-5794113.0468547465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hidden="1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589614.69758431474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54668.919188631466</v>
      </c>
      <c r="O70" s="195">
        <f t="shared" si="20"/>
        <v>54668.919188631466</v>
      </c>
      <c r="P70" s="205">
        <f t="shared" si="10"/>
        <v>534945.77839568327</v>
      </c>
      <c r="Q70" s="192">
        <f>IFERROR(VLOOKUP(A70,[1]Energiindhold!$A$2:$C$11,3,FALSE),IFERROR(VLOOKUP(A70,[1]Biogasudbytte!$A$2:$B$18,2,FALSE)*[1]Energiindhold!$C$10,0))*O70</f>
        <v>0.23688753380383468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92">
        <f>IFERROR(VLOOKUP(A70,[1]Biogasudbytte!$A$2:$B$18,2,FALSE)*[1]Energiindhold!$C$10,0)*J70*IFERROR(VLOOKUP(A70,Biogasanlæg!$F$3:$G$8,2,FALSE),1)</f>
        <v>1.9702911606287341</v>
      </c>
      <c r="T70" s="193">
        <f t="shared" si="11"/>
        <v>0.23688753380383454</v>
      </c>
      <c r="U70" s="191">
        <f>O70*IFERROR(VLOOKUP(A70,[1]Tørstofindhold!A$2:B$24,2,FALSE),0)</f>
        <v>22960.946059225214</v>
      </c>
      <c r="V70" s="192">
        <f>IF(D70=År1,P70,SUM(O70,P70))*IFERROR(VLOOKUP(A70,[1]Tørstofindhold!A$2:B$24,2,FALSE),0)</f>
        <v>247638.17298541218</v>
      </c>
      <c r="W70" s="192">
        <f>J70*IFERROR(VLOOKUP(A70,[1]Tørstofindhold!A$2:B$24,2,FALSE),0)</f>
        <v>224677.22692618697</v>
      </c>
      <c r="X70" s="193">
        <f t="shared" si="12"/>
        <v>22960.946059225214</v>
      </c>
      <c r="Y70" s="171">
        <f t="shared" si="21"/>
        <v>0</v>
      </c>
      <c r="Z70" s="103">
        <f t="shared" si="22"/>
        <v>1</v>
      </c>
    </row>
    <row r="71" spans="1:26" hidden="1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800990.58717012103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2118313.6444107294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7055058.2423947481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-182668.45884857792</v>
      </c>
      <c r="O73" s="195">
        <f t="shared" si="20"/>
        <v>0</v>
      </c>
      <c r="P73" s="205">
        <f t="shared" si="10"/>
        <v>2833.9333697705197</v>
      </c>
      <c r="Q73" s="192">
        <f>IFERROR(VLOOKUP(A73,[1]Energiindhold!$A$2:$C$11,3,FALSE),IFERROR(VLOOKUP(A73,[1]Biogasudbytte!$A$2:$B$18,2,FALSE)*[1]Energiindhold!$C$10,0))*O73</f>
        <v>0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9.7058250407922632E-3</v>
      </c>
      <c r="S73" s="192">
        <f>IFERROR(VLOOKUP(A73,[1]Biogasudbytte!$A$2:$B$18,2,FALSE)*[1]Energiindhold!$C$10,0)*J73*IFERROR(VLOOKUP(A73,Biogasanlæg!$F$3:$G$8,2,FALSE),1)</f>
        <v>9.7058250407922632E-3</v>
      </c>
      <c r="T73" s="193">
        <f t="shared" si="11"/>
        <v>0</v>
      </c>
      <c r="U73" s="191">
        <f>O73*IFERROR(VLOOKUP(A73,[1]Tørstofindhold!A$2:B$24,2,FALSE),0)</f>
        <v>0</v>
      </c>
      <c r="V73" s="192">
        <f>IF(D73=År1,P73,SUM(O73,P73))*IFERROR(VLOOKUP(A73,[1]Tørstofindhold!A$2:B$24,2,FALSE),0)</f>
        <v>878.51934462886106</v>
      </c>
      <c r="W73" s="192">
        <f>J73*IFERROR(VLOOKUP(A73,[1]Tørstofindhold!A$2:B$24,2,FALSE),0)</f>
        <v>878.51934462886106</v>
      </c>
      <c r="X73" s="193">
        <f t="shared" si="12"/>
        <v>0</v>
      </c>
      <c r="Y73" s="171">
        <f t="shared" si="21"/>
        <v>0</v>
      </c>
      <c r="Z73" s="103">
        <f t="shared" si="22"/>
        <v>1</v>
      </c>
    </row>
    <row r="74" spans="1:26" hidden="1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389347.88943325559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-389347.88943325559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15580196.053602941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11840949.000738235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2477251.1725228676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1261995.880341839</v>
      </c>
      <c r="O75" s="195">
        <f t="shared" si="20"/>
        <v>1261995.880341839</v>
      </c>
      <c r="P75" s="205">
        <f t="shared" si="10"/>
        <v>11840949.000738235</v>
      </c>
      <c r="Q75" s="192">
        <f>IFERROR(VLOOKUP(A75,[1]Energiindhold!$A$2:$C$11,3,FALSE),IFERROR(VLOOKUP(A75,[1]Biogasudbytte!$A$2:$B$18,2,FALSE)*[1]Energiindhold!$C$10,0))*O75</f>
        <v>0.63880969467023563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6.6325796693539232</v>
      </c>
      <c r="S75" s="192">
        <f>IFERROR(VLOOKUP(A75,[1]Biogasudbytte!$A$2:$B$18,2,FALSE)*[1]Energiindhold!$C$10,0)*J75*IFERROR(VLOOKUP(A75,Biogasanlæg!$F$3:$G$8,2,FALSE),1)</f>
        <v>5.9937699746836879</v>
      </c>
      <c r="T75" s="193">
        <f t="shared" si="11"/>
        <v>0.6388096946702353</v>
      </c>
      <c r="U75" s="191">
        <f>O75*IFERROR(VLOOKUP(A75,[1]Tørstofindhold!A$2:B$24,2,FALSE),0)</f>
        <v>95911.686905979761</v>
      </c>
      <c r="V75" s="192">
        <f>IF(D75=År1,P75,SUM(O75,P75))*IFERROR(VLOOKUP(A75,[1]Tørstofindhold!A$2:B$24,2,FALSE),0)</f>
        <v>995823.81096208561</v>
      </c>
      <c r="W75" s="192">
        <f>J75*IFERROR(VLOOKUP(A75,[1]Tørstofindhold!A$2:B$24,2,FALSE),0)</f>
        <v>899912.12405610585</v>
      </c>
      <c r="X75" s="193">
        <f t="shared" si="12"/>
        <v>95911.686905979761</v>
      </c>
      <c r="Y75" s="171">
        <f t="shared" si="21"/>
        <v>0</v>
      </c>
      <c r="Z75" s="103">
        <f t="shared" si="22"/>
        <v>1</v>
      </c>
    </row>
    <row r="76" spans="1:26" hidden="1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1945192.6384399957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126335.63003958203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880150.89522212092</v>
      </c>
      <c r="O77" s="195">
        <f t="shared" si="20"/>
        <v>420587.66554026748</v>
      </c>
      <c r="P77" s="205">
        <f t="shared" si="10"/>
        <v>314692.31350359169</v>
      </c>
      <c r="Q77" s="192">
        <f>IFERROR(VLOOKUP(A77,[1]Energiindhold!$A$2:$C$11,3,FALSE),IFERROR(VLOOKUP(A77,[1]Biogasudbytte!$A$2:$B$18,2,FALSE)*[1]Energiindhold!$C$10,0))*O77</f>
        <v>1.5099097192895603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2.6396551247674545</v>
      </c>
      <c r="S77" s="192">
        <f>IFERROR(VLOOKUP(A77,[1]Biogasudbytte!$A$2:$B$18,2,FALSE)*[1]Energiindhold!$C$10,0)*J77*IFERROR(VLOOKUP(A77,Biogasanlæg!$F$3:$G$8,2,FALSE),1)</f>
        <v>1.1297454054778944</v>
      </c>
      <c r="T77" s="193">
        <f t="shared" si="11"/>
        <v>1.5099097192895601</v>
      </c>
      <c r="U77" s="191">
        <f>O77*IFERROR(VLOOKUP(A77,[1]Tørstofindhold!A$2:B$24,2,FALSE),0)</f>
        <v>126176.29966208024</v>
      </c>
      <c r="V77" s="192">
        <f>IF(D77=År1,P77,SUM(O77,P77))*IFERROR(VLOOKUP(A77,[1]Tørstofindhold!A$2:B$24,2,FALSE),0)</f>
        <v>220583.99371315775</v>
      </c>
      <c r="W77" s="192">
        <f>J77*IFERROR(VLOOKUP(A77,[1]Tørstofindhold!A$2:B$24,2,FALSE),0)</f>
        <v>94407.694051077502</v>
      </c>
      <c r="X77" s="193">
        <f t="shared" si="12"/>
        <v>126176.29966208024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3753212.2579404083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3280805.3819219102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O79*IFERROR(VLOOKUP(A79,[1]Tørstofindhold!A$2:B$24,2,FALSE),0)</f>
        <v>21748.400817645732</v>
      </c>
      <c r="V79" s="192">
        <f>IF(D79=År1,P79,SUM(O79,P79))*IFERROR(VLOOKUP(A79,[1]Tørstofindhold!A$2:B$24,2,FALSE),0)</f>
        <v>21748.400817645732</v>
      </c>
      <c r="W79" s="192">
        <f>J79*IFERROR(VLOOKUP(A79,[1]Tørstofindhold!A$2:B$24,2,FALSE),0)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127401.76624978184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67373.513210879581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1683153.4103621913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177516.46640303911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3.2663029818159193</v>
      </c>
      <c r="U82" s="191">
        <f>O82*IFERROR(VLOOKUP(A82,[1]Tørstofindhold!A$2:B$24,2,FALSE),0)</f>
        <v>0</v>
      </c>
      <c r="V82" s="192">
        <f>IF(D82=År1,P82,SUM(O82,P82))*IFERROR(VLOOKUP(A82,[1]Tørstofindhold!A$2:B$24,2,FALSE),0)</f>
        <v>73669.333557261241</v>
      </c>
      <c r="W82" s="192">
        <f>J82*IFERROR(VLOOKUP(A82,[1]Tørstofindhold!A$2:B$24,2,FALSE),0)</f>
        <v>0</v>
      </c>
      <c r="X82" s="193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O83*IFERROR(VLOOKUP(A83,[1]Tørstofindhold!A$2:B$24,2,FALSE),0)</f>
        <v>0</v>
      </c>
      <c r="V83" s="192">
        <f>IF(D83=År1,P83,SUM(O83,P83))*IFERROR(VLOOKUP(A83,[1]Tørstofindhold!A$2:B$24,2,FALSE),0)</f>
        <v>0</v>
      </c>
      <c r="W83" s="192">
        <f>J83*IFERROR(VLOOKUP(A83,[1]Tørstofindhold!A$2:B$24,2,FALSE),0)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O84*IFERROR(VLOOKUP(A84,[1]Tørstofindhold!A$2:B$24,2,FALSE),0)</f>
        <v>0</v>
      </c>
      <c r="V84" s="192">
        <f>IF(D84=År1,P84,SUM(O84,P84))*IFERROR(VLOOKUP(A84,[1]Tørstofindhold!A$2:B$24,2,FALSE),0)</f>
        <v>0</v>
      </c>
      <c r="W84" s="192">
        <f>J84*IFERROR(VLOOKUP(A84,[1]Tørstofindhold!A$2:B$24,2,FALSE),0)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5844517.8424414396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5844517.8424414396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-3023.5747326607525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162493.02564918654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5.6872558977215286</v>
      </c>
      <c r="U88" s="191">
        <f>O88*IFERROR(VLOOKUP(A88,[1]Tørstofindhold!A$2:B$24,2,FALSE),0)</f>
        <v>0</v>
      </c>
      <c r="V88" s="192">
        <f>IF(D88=År1,P88,SUM(O88,P88))*IFERROR(VLOOKUP(A88,[1]Tørstofindhold!A$2:B$24,2,FALSE),0)</f>
        <v>0</v>
      </c>
      <c r="W88" s="192">
        <f>J88*IFERROR(VLOOKUP(A88,[1]Tørstofindhold!A$2:B$24,2,FALSE),0)</f>
        <v>0</v>
      </c>
      <c r="X88" s="193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1009401.1411867546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-618377.70486441301</v>
      </c>
      <c r="O89" s="195">
        <f t="shared" si="20"/>
        <v>0</v>
      </c>
      <c r="P89" s="205">
        <f t="shared" si="24"/>
        <v>4075.7207832735812</v>
      </c>
      <c r="Q89" s="192">
        <f>IFERROR(VLOOKUP(A89,[1]Energiindhold!$A$2:$C$11,3,FALSE),IFERROR(VLOOKUP(A89,[1]Biogasudbytte!$A$2:$B$18,2,FALSE)*[1]Energiindhold!$C$10,0))*O89</f>
        <v>0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2">
        <f>IFERROR(VLOOKUP(A89,[1]Biogasudbytte!$A$2:$B$18,2,FALSE)*[1]Energiindhold!$C$10,0)*J89*IFERROR(VLOOKUP(A89,Biogasanlæg!$F$3:$G$8,2,FALSE),1)</f>
        <v>1.1061669234635831E-2</v>
      </c>
      <c r="T89" s="193">
        <f t="shared" si="25"/>
        <v>0</v>
      </c>
      <c r="U89" s="191">
        <f>O89*IFERROR(VLOOKUP(A89,[1]Tørstofindhold!A$2:B$24,2,FALSE),0)</f>
        <v>0</v>
      </c>
      <c r="V89" s="192">
        <f>IF(D89=År1,P89,SUM(O89,P89))*IFERROR(VLOOKUP(A89,[1]Tørstofindhold!A$2:B$24,2,FALSE),0)</f>
        <v>815.14415665471631</v>
      </c>
      <c r="W89" s="192">
        <f>J89*IFERROR(VLOOKUP(A89,[1]Tørstofindhold!A$2:B$24,2,FALSE),0)</f>
        <v>815.14415665471631</v>
      </c>
      <c r="X89" s="193">
        <f t="shared" si="26"/>
        <v>0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229347.69258761208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229347.69258761208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155631.99325653154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108333.11124139075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3998263.1551815392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2481926.4751490569</v>
      </c>
      <c r="O92" s="195">
        <f t="shared" si="20"/>
        <v>2481926.4751490569</v>
      </c>
      <c r="P92" s="205">
        <f t="shared" si="24"/>
        <v>1516336.6800324824</v>
      </c>
      <c r="Q92" s="192">
        <f>IFERROR(VLOOKUP(A92,[1]Energiindhold!$A$2:$C$11,3,FALSE),IFERROR(VLOOKUP(A92,[1]Biogasudbytte!$A$2:$B$18,2,FALSE)*[1]Energiindhold!$C$10,0))*O92</f>
        <v>1.2385061303641312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92">
        <f>IFERROR(VLOOKUP(A92,[1]Biogasudbytte!$A$2:$B$18,2,FALSE)*[1]Energiindhold!$C$10,0)*J92*IFERROR(VLOOKUP(A92,Biogasanlæg!$F$3:$G$8,2,FALSE),1)</f>
        <v>0.75666716670300915</v>
      </c>
      <c r="T92" s="193">
        <f t="shared" si="25"/>
        <v>1.2385061303641312</v>
      </c>
      <c r="U92" s="191">
        <f>O92*IFERROR(VLOOKUP(A92,[1]Tørstofindhold!A$2:B$24,2,FALSE),0)</f>
        <v>148915.58850894342</v>
      </c>
      <c r="V92" s="192">
        <f>IF(D92=År1,P92,SUM(O92,P92))*IFERROR(VLOOKUP(A92,[1]Tørstofindhold!A$2:B$24,2,FALSE),0)</f>
        <v>239895.78931089235</v>
      </c>
      <c r="W92" s="192">
        <f>J92*IFERROR(VLOOKUP(A92,[1]Tørstofindhold!A$2:B$24,2,FALSE),0)</f>
        <v>90980.200801948944</v>
      </c>
      <c r="X92" s="193">
        <f t="shared" si="26"/>
        <v>148915.58850894339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18089799.811057284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9587593.8998603616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8502205.9111969229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9587593.8998603616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4.1303354520598443</v>
      </c>
      <c r="S93" s="192">
        <f>IFERROR(VLOOKUP(A93,[1]Biogasudbytte!$A$2:$B$18,2,FALSE)*[1]Energiindhold!$C$10,0)*J93*IFERROR(VLOOKUP(A93,Biogasanlæg!$F$3:$G$8,2,FALSE),1)</f>
        <v>4.1303354520598443</v>
      </c>
      <c r="T93" s="193">
        <f t="shared" si="25"/>
        <v>0</v>
      </c>
      <c r="U93" s="191">
        <f>O93*IFERROR(VLOOKUP(A93,[1]Tørstofindhold!A$2:B$24,2,FALSE),0)</f>
        <v>0</v>
      </c>
      <c r="V93" s="192">
        <f>IF(D93=År1,P93,SUM(O93,P93))*IFERROR(VLOOKUP(A93,[1]Tørstofindhold!A$2:B$24,2,FALSE),0)</f>
        <v>479379.69499301811</v>
      </c>
      <c r="W93" s="192">
        <f>J93*IFERROR(VLOOKUP(A93,[1]Tørstofindhold!A$2:B$24,2,FALSE),0)</f>
        <v>479379.69499301811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1653615.6309381565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1531740.086889476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O95*IFERROR(VLOOKUP(A95,[1]Tørstofindhold!A$2:B$24,2,FALSE),0)</f>
        <v>1620</v>
      </c>
      <c r="V95" s="192">
        <f>IF(D95=År1,P95,SUM(O95,P95))*IFERROR(VLOOKUP(A95,[1]Tørstofindhold!A$2:B$24,2,FALSE),0)</f>
        <v>1620</v>
      </c>
      <c r="W95" s="192">
        <f>J95*IFERROR(VLOOKUP(A95,[1]Tørstofindhold!A$2:B$24,2,FALSE),0)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2203715.0015238998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31.93969521225883</v>
      </c>
      <c r="U97" s="191">
        <f>O97*IFERROR(VLOOKUP(A97,[1]Tørstofindhold!A$2:B$24,2,FALSE),0)</f>
        <v>0</v>
      </c>
      <c r="V97" s="192">
        <f>IF(D97=År1,P97,SUM(O97,P97))*IFERROR(VLOOKUP(A97,[1]Tørstofindhold!A$2:B$24,2,FALSE),0)</f>
        <v>1089920.7111703621</v>
      </c>
      <c r="W97" s="192">
        <f>J97*IFERROR(VLOOKUP(A97,[1]Tørstofindhold!A$2:B$24,2,FALSE),0)</f>
        <v>0</v>
      </c>
      <c r="X97" s="193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605932.0339558397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hidden="1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249867.88679150312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216017.9179050583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183064.86214330033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O101*IFERROR(VLOOKUP(A101,[1]Tørstofindhold!A$2:B$24,2,FALSE),0)</f>
        <v>0</v>
      </c>
      <c r="V101" s="192">
        <f ca="1">IF(D101=År1,P101,SUM(O101,P101))*IFERROR(VLOOKUP(A101,[1]Tørstofindhold!A$2:B$24,2,FALSE),0)</f>
        <v>55295.585392034671</v>
      </c>
      <c r="W101" s="192">
        <f ca="1">J101*IFERROR(VLOOKUP(A101,[1]Tørstofindhold!A$2:B$24,2,FALSE),0)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561658711.83836472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561658711.83836472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561658711.83836472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O102*IFERROR(VLOOKUP(A102,[1]Tørstofindhold!A$2:B$24,2,FALSE),0)</f>
        <v>0</v>
      </c>
      <c r="V102" s="192">
        <f ca="1"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23285588.83545886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20673448.784384709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2612140.0510741509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O104*IFERROR(VLOOKUP(A104,[1]Tørstofindhold!A$2:B$24,2,FALSE),0)</f>
        <v>0</v>
      </c>
      <c r="V104" s="192">
        <f>IF(D104=År1,P104,SUM(O104,P104))*IFERROR(VLOOKUP(A104,[1]Tørstofindhold!A$2:B$24,2,FALSE),0)</f>
        <v>0</v>
      </c>
      <c r="W104" s="192">
        <f>J104*IFERROR(VLOOKUP(A104,[1]Tørstofindhold!A$2:B$24,2,FALSE),0)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hidden="1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3333573.27322629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1035788.8384667402</v>
      </c>
      <c r="O105" s="195">
        <f t="shared" si="20"/>
        <v>1035788.8384667402</v>
      </c>
      <c r="P105" s="205">
        <f t="shared" si="24"/>
        <v>1666786.636613145</v>
      </c>
      <c r="Q105" s="192">
        <f>IFERROR(VLOOKUP(A105,[1]Energiindhold!$A$2:$C$11,3,FALSE),IFERROR(VLOOKUP(A105,[1]Biogasudbytte!$A$2:$B$18,2,FALSE)*[1]Energiindhold!$C$10,0))*O105</f>
        <v>2.2310891580573586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92">
        <f>IFERROR(VLOOKUP(A105,[1]Biogasudbytte!$A$2:$B$18,2,FALSE)*[1]Energiindhold!$C$10,0)*J105*IFERROR(VLOOKUP(A105,Biogasanlæg!$F$3:$G$8,2,FALSE),1)</f>
        <v>3.5902584152647146</v>
      </c>
      <c r="T105" s="193">
        <f t="shared" si="25"/>
        <v>2.2310891580573591</v>
      </c>
      <c r="U105" s="191">
        <f>O105*IFERROR(VLOOKUP(A105,[1]Tørstofindhold!A$2:B$24,2,FALSE),0)</f>
        <v>310736.65154002205</v>
      </c>
      <c r="V105" s="192">
        <f>IF(D105=År1,P105,SUM(O105,P105))*IFERROR(VLOOKUP(A105,[1]Tørstofindhold!A$2:B$24,2,FALSE),0)</f>
        <v>810772.64252396557</v>
      </c>
      <c r="W105" s="192">
        <f>J105*IFERROR(VLOOKUP(A105,[1]Tørstofindhold!A$2:B$24,2,FALSE),0)</f>
        <v>500035.99098394345</v>
      </c>
      <c r="X105" s="193">
        <f t="shared" si="26"/>
        <v>310736.65154002211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hidden="1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10338.638066978907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5169.3190334894534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3913.9129824991574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1255.4060509902956</v>
      </c>
      <c r="O107" s="195">
        <f t="shared" si="20"/>
        <v>1255.4060509902956</v>
      </c>
      <c r="P107" s="205">
        <f t="shared" si="24"/>
        <v>5169.3190334894534</v>
      </c>
      <c r="Q107" s="192">
        <f>IFERROR(VLOOKUP(A107,[1]Energiindhold!$A$2:$C$11,3,FALSE),IFERROR(VLOOKUP(A107,[1]Biogasudbytte!$A$2:$B$18,2,FALSE)*[1]Energiindhold!$C$10,0))*O107</f>
        <v>5.9040491172022611E-4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3.0214839599799811E-3</v>
      </c>
      <c r="S107" s="192">
        <f>IFERROR(VLOOKUP(A107,[1]Biogasudbytte!$A$2:$B$18,2,FALSE)*[1]Energiindhold!$C$10,0)*J107*IFERROR(VLOOKUP(A107,Biogasanlæg!$F$3:$G$8,2,FALSE),1)</f>
        <v>2.4310790482597552E-3</v>
      </c>
      <c r="T107" s="193">
        <f t="shared" si="25"/>
        <v>5.9040491172022589E-4</v>
      </c>
      <c r="U107" s="191">
        <f>O107*IFERROR(VLOOKUP(A107,[1]Tørstofindhold!A$2:B$24,2,FALSE),0)</f>
        <v>79.090581212388628</v>
      </c>
      <c r="V107" s="192">
        <f>IF(D107=År1,P107,SUM(O107,P107))*IFERROR(VLOOKUP(A107,[1]Tørstofindhold!A$2:B$24,2,FALSE),0)</f>
        <v>404.75768032222419</v>
      </c>
      <c r="W107" s="192">
        <f>J107*IFERROR(VLOOKUP(A107,[1]Tørstofindhold!A$2:B$24,2,FALSE),0)</f>
        <v>325.66709910983559</v>
      </c>
      <c r="X107" s="193">
        <f t="shared" si="26"/>
        <v>79.090581212388599</v>
      </c>
      <c r="Y107" s="171">
        <f t="shared" si="21"/>
        <v>0</v>
      </c>
      <c r="Z107" s="103">
        <f t="shared" si="22"/>
        <v>1</v>
      </c>
    </row>
    <row r="108" spans="1:26" hidden="1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208390.50149991471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171719.70187293284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893493.81900150096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-241828.42359996482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1339244.6069353633</v>
      </c>
      <c r="O112" s="195">
        <f t="shared" si="20"/>
        <v>1339244.6069353633</v>
      </c>
      <c r="P112" s="205">
        <f t="shared" si="24"/>
        <v>75527.053678542041</v>
      </c>
      <c r="Q112" s="192">
        <f>IFERROR(VLOOKUP(A112,[1]Energiindhold!$A$2:$C$11,3,FALSE),IFERROR(VLOOKUP(A112,[1]Biogasudbytte!$A$2:$B$18,2,FALSE)*[1]Energiindhold!$C$10,0))*O112</f>
        <v>2.4640426711852017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2.6030030090720091</v>
      </c>
      <c r="S112" s="192">
        <f>IFERROR(VLOOKUP(A112,[1]Biogasudbytte!$A$2:$B$18,2,FALSE)*[1]Energiindhold!$C$10,0)*J112*IFERROR(VLOOKUP(A112,Biogasanlæg!$F$3:$G$8,2,FALSE),1)</f>
        <v>0.13896033788680753</v>
      </c>
      <c r="T112" s="193">
        <f t="shared" si="25"/>
        <v>2.4640426711852017</v>
      </c>
      <c r="U112" s="191">
        <f>O112*IFERROR(VLOOKUP(A112,[1]Tørstofindhold!A$2:B$24,2,FALSE),0)</f>
        <v>374988.48994190176</v>
      </c>
      <c r="V112" s="192">
        <f>IF(D112=År1,P112,SUM(O112,P112))*IFERROR(VLOOKUP(A112,[1]Tørstofindhold!A$2:B$24,2,FALSE),0)</f>
        <v>396136.06497189356</v>
      </c>
      <c r="W112" s="192">
        <f>J112*IFERROR(VLOOKUP(A112,[1]Tørstofindhold!A$2:B$24,2,FALSE),0)</f>
        <v>21147.575029991774</v>
      </c>
      <c r="X112" s="193">
        <f t="shared" si="26"/>
        <v>374988.48994190176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-95417.428094907984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868816.20672013925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51614.661983045924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705945.48999946821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757560.15198251419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7.5941022688695501</v>
      </c>
      <c r="S115" s="192">
        <f>IFERROR(VLOOKUP(A115,[1]Biogasudbytte!$A$2:$B$18,2,FALSE)*[1]Energiindhold!$C$10,0)*J115*IFERROR(VLOOKUP(A115,Biogasanlæg!$F$3:$G$8,2,FALSE),1)</f>
        <v>0.2975863982497306</v>
      </c>
      <c r="T115" s="193">
        <f t="shared" si="25"/>
        <v>7.2965158706198192</v>
      </c>
      <c r="U115" s="191">
        <f>O115*IFERROR(VLOOKUP(A115,[1]Tørstofindhold!A$2:B$24,2,FALSE),0)</f>
        <v>0</v>
      </c>
      <c r="V115" s="192">
        <f>IF(D115=År1,P115,SUM(O115,P115))*IFERROR(VLOOKUP(A115,[1]Tørstofindhold!A$2:B$24,2,FALSE),0)</f>
        <v>643926.12918513699</v>
      </c>
      <c r="W115" s="192">
        <f>J115*IFERROR(VLOOKUP(A115,[1]Tørstofindhold!A$2:B$24,2,FALSE),0)</f>
        <v>43872.462685589031</v>
      </c>
      <c r="X115" s="193">
        <f t="shared" si="26"/>
        <v>600053.66649954801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O116*IFERROR(VLOOKUP(A116,[1]Tørstofindhold!A$2:B$24,2,FALSE),0)</f>
        <v>0</v>
      </c>
      <c r="V116" s="192">
        <f>IF(D116=År1,P116,SUM(O116,P116))*IFERROR(VLOOKUP(A116,[1]Tørstofindhold!A$2:B$24,2,FALSE),0)</f>
        <v>157464.59251181944</v>
      </c>
      <c r="W116" s="192">
        <f>J116*IFERROR(VLOOKUP(A116,[1]Tørstofindhold!A$2:B$24,2,FALSE),0)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-5794113.0468547465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hidden="1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585716.08517907641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54115.474944335409</v>
      </c>
      <c r="O118" s="195">
        <f t="shared" si="20"/>
        <v>54115.474944335409</v>
      </c>
      <c r="P118" s="205">
        <f t="shared" si="24"/>
        <v>531600.61023474101</v>
      </c>
      <c r="Q118" s="192">
        <f>IFERROR(VLOOKUP(A118,[1]Energiindhold!$A$2:$C$11,3,FALSE),IFERROR(VLOOKUP(A118,[1]Biogasudbytte!$A$2:$B$18,2,FALSE)*[1]Energiindhold!$C$10,0))*O118</f>
        <v>0.23448938794554811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92">
        <f>IFERROR(VLOOKUP(A118,[1]Biogasudbytte!$A$2:$B$18,2,FALSE)*[1]Energiindhold!$C$10,0)*J118*IFERROR(VLOOKUP(A118,Biogasanlæg!$F$3:$G$8,2,FALSE),1)</f>
        <v>1.9579703693924939</v>
      </c>
      <c r="T118" s="193">
        <f t="shared" si="25"/>
        <v>0.23448938794554808</v>
      </c>
      <c r="U118" s="191">
        <f>O118*IFERROR(VLOOKUP(A118,[1]Tørstofindhold!A$2:B$24,2,FALSE),0)</f>
        <v>22728.499476620869</v>
      </c>
      <c r="V118" s="192">
        <f>IF(D118=År1,P118,SUM(O118,P118))*IFERROR(VLOOKUP(A118,[1]Tørstofindhold!A$2:B$24,2,FALSE),0)</f>
        <v>246000.75577521208</v>
      </c>
      <c r="W118" s="192">
        <f>J118*IFERROR(VLOOKUP(A118,[1]Tørstofindhold!A$2:B$24,2,FALSE),0)</f>
        <v>223272.25629859121</v>
      </c>
      <c r="X118" s="193">
        <f t="shared" si="26"/>
        <v>22728.499476620869</v>
      </c>
      <c r="Y118" s="171">
        <f t="shared" si="21"/>
        <v>0</v>
      </c>
      <c r="Z118" s="103">
        <f t="shared" si="22"/>
        <v>1</v>
      </c>
    </row>
    <row r="119" spans="1:26" hidden="1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772432.08575229661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2034149.9429932388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7055058.2423947481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-419764.87014372088</v>
      </c>
      <c r="O121" s="195">
        <f t="shared" si="20"/>
        <v>0</v>
      </c>
      <c r="P121" s="205">
        <f t="shared" si="24"/>
        <v>2825.7560217041437</v>
      </c>
      <c r="Q121" s="192">
        <f>IFERROR(VLOOKUP(A121,[1]Energiindhold!$A$2:$C$11,3,FALSE),IFERROR(VLOOKUP(A121,[1]Biogasudbytte!$A$2:$B$18,2,FALSE)*[1]Energiindhold!$C$10,0))*O121</f>
        <v>0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9.6778187684936554E-3</v>
      </c>
      <c r="S121" s="192">
        <f>IFERROR(VLOOKUP(A121,[1]Biogasudbytte!$A$2:$B$18,2,FALSE)*[1]Energiindhold!$C$10,0)*J121*IFERROR(VLOOKUP(A121,Biogasanlæg!$F$3:$G$8,2,FALSE),1)</f>
        <v>9.6778187684936554E-3</v>
      </c>
      <c r="T121" s="193">
        <f t="shared" si="25"/>
        <v>0</v>
      </c>
      <c r="U121" s="191">
        <f>O121*IFERROR(VLOOKUP(A121,[1]Tørstofindhold!A$2:B$24,2,FALSE),0)</f>
        <v>0</v>
      </c>
      <c r="V121" s="192">
        <f>IF(D121=År1,P121,SUM(O121,P121))*IFERROR(VLOOKUP(A121,[1]Tørstofindhold!A$2:B$24,2,FALSE),0)</f>
        <v>875.9843667282845</v>
      </c>
      <c r="W121" s="192">
        <f>J121*IFERROR(VLOOKUP(A121,[1]Tørstofindhold!A$2:B$24,2,FALSE),0)</f>
        <v>875.9843667282845</v>
      </c>
      <c r="X121" s="193">
        <f t="shared" si="26"/>
        <v>0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371711.85601871461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-371711.85601871461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15282487.80305979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11614690.73032544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2429915.5606865063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1237881.512047844</v>
      </c>
      <c r="O123" s="195">
        <f t="shared" si="20"/>
        <v>1237881.512047844</v>
      </c>
      <c r="P123" s="205">
        <f t="shared" si="24"/>
        <v>11614690.73032544</v>
      </c>
      <c r="Q123" s="192">
        <f>IFERROR(VLOOKUP(A123,[1]Energiindhold!$A$2:$C$11,3,FALSE),IFERROR(VLOOKUP(A123,[1]Biogasudbytte!$A$2:$B$18,2,FALSE)*[1]Energiindhold!$C$10,0))*O123</f>
        <v>0.6266032425834982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6.5058435433669333</v>
      </c>
      <c r="S123" s="192">
        <f>IFERROR(VLOOKUP(A123,[1]Biogasudbytte!$A$2:$B$18,2,FALSE)*[1]Energiindhold!$C$10,0)*J123*IFERROR(VLOOKUP(A123,Biogasanlæg!$F$3:$G$8,2,FALSE),1)</f>
        <v>5.8792403007834348</v>
      </c>
      <c r="T123" s="193">
        <f t="shared" si="25"/>
        <v>0.62660324258349842</v>
      </c>
      <c r="U123" s="191">
        <f>O123*IFERROR(VLOOKUP(A123,[1]Tørstofindhold!A$2:B$24,2,FALSE),0)</f>
        <v>94078.99491563614</v>
      </c>
      <c r="V123" s="192">
        <f>IF(D123=År1,P123,SUM(O123,P123))*IFERROR(VLOOKUP(A123,[1]Tørstofindhold!A$2:B$24,2,FALSE),0)</f>
        <v>976795.49042036955</v>
      </c>
      <c r="W123" s="192">
        <f>J123*IFERROR(VLOOKUP(A123,[1]Tørstofindhold!A$2:B$24,2,FALSE),0)</f>
        <v>882716.49550473341</v>
      </c>
      <c r="X123" s="193">
        <f t="shared" si="26"/>
        <v>94078.99491563614</v>
      </c>
      <c r="Y123" s="171">
        <f t="shared" si="21"/>
        <v>0</v>
      </c>
      <c r="Z123" s="103">
        <f t="shared" si="22"/>
        <v>1</v>
      </c>
    </row>
    <row r="124" spans="1:26" hidden="1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1909060.1640936765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90203.155693262815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683560.73876741529</v>
      </c>
      <c r="O125" s="195">
        <f t="shared" si="20"/>
        <v>218583.82382291782</v>
      </c>
      <c r="P125" s="205">
        <f t="shared" si="24"/>
        <v>314525.12457946909</v>
      </c>
      <c r="Q125" s="192">
        <f>IFERROR(VLOOKUP(A125,[1]Energiindhold!$A$2:$C$11,3,FALSE),IFERROR(VLOOKUP(A125,[1]Biogasudbytte!$A$2:$B$18,2,FALSE)*[1]Energiindhold!$C$10,0))*O125</f>
        <v>0.7847159275242751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1.9138611247645692</v>
      </c>
      <c r="S125" s="192">
        <f>IFERROR(VLOOKUP(A125,[1]Biogasudbytte!$A$2:$B$18,2,FALSE)*[1]Energiindhold!$C$10,0)*J125*IFERROR(VLOOKUP(A125,Biogasanlæg!$F$3:$G$8,2,FALSE),1)</f>
        <v>1.1291451972402942</v>
      </c>
      <c r="T125" s="193">
        <f t="shared" si="25"/>
        <v>0.78471592752427499</v>
      </c>
      <c r="U125" s="191">
        <f>O125*IFERROR(VLOOKUP(A125,[1]Tørstofindhold!A$2:B$24,2,FALSE),0)</f>
        <v>65575.147146875344</v>
      </c>
      <c r="V125" s="192">
        <f>IF(D125=År1,P125,SUM(O125,P125))*IFERROR(VLOOKUP(A125,[1]Tørstofindhold!A$2:B$24,2,FALSE),0)</f>
        <v>159932.68452071605</v>
      </c>
      <c r="W125" s="192">
        <f>J125*IFERROR(VLOOKUP(A125,[1]Tørstofindhold!A$2:B$24,2,FALSE),0)</f>
        <v>94357.537373840722</v>
      </c>
      <c r="X125" s="193">
        <f t="shared" si="26"/>
        <v>65575.14714687533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3683495.3348211222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3192670.7859676722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O127*IFERROR(VLOOKUP(A127,[1]Tørstofindhold!A$2:B$24,2,FALSE),0)</f>
        <v>29214.269755046505</v>
      </c>
      <c r="V127" s="192">
        <f>IF(D127=År1,P127,SUM(O127,P127))*IFERROR(VLOOKUP(A127,[1]Tørstofindhold!A$2:B$24,2,FALSE),0)</f>
        <v>29214.269755046505</v>
      </c>
      <c r="W127" s="192">
        <f>J127*IFERROR(VLOOKUP(A127,[1]Tørstofindhold!A$2:B$24,2,FALSE),0)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123345.7388852182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60977.171211943627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0</v>
      </c>
      <c r="Z128" s="103">
        <f t="shared" si="22"/>
        <v>1</v>
      </c>
    </row>
    <row r="129" spans="1:26" hidden="1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1623142.2943438755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171775.11908496951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3.1606621911634383</v>
      </c>
      <c r="U130" s="191">
        <f>O130*IFERROR(VLOOKUP(A130,[1]Tørstofindhold!A$2:B$24,2,FALSE),0)</f>
        <v>0</v>
      </c>
      <c r="V130" s="192">
        <f>IF(D130=År1,P130,SUM(O130,P130))*IFERROR(VLOOKUP(A130,[1]Tørstofindhold!A$2:B$24,2,FALSE),0)</f>
        <v>71286.674420262352</v>
      </c>
      <c r="W130" s="192">
        <f>J130*IFERROR(VLOOKUP(A130,[1]Tørstofindhold!A$2:B$24,2,FALSE),0)</f>
        <v>0</v>
      </c>
      <c r="X130" s="193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O131*IFERROR(VLOOKUP(A131,[1]Tørstofindhold!A$2:B$24,2,FALSE),0)</f>
        <v>0</v>
      </c>
      <c r="V131" s="192">
        <f>IF(D131=År1,P131,SUM(O131,P131))*IFERROR(VLOOKUP(A131,[1]Tørstofindhold!A$2:B$24,2,FALSE),0)</f>
        <v>0</v>
      </c>
      <c r="W131" s="192">
        <f>J131*IFERROR(VLOOKUP(A131,[1]Tørstofindhold!A$2:B$24,2,FALSE),0)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O132*IFERROR(VLOOKUP(A132,[1]Tørstofindhold!A$2:B$24,2,FALSE),0)</f>
        <v>0</v>
      </c>
      <c r="V132" s="192">
        <f>IF(D132=År1,P132,SUM(O132,P132))*IFERROR(VLOOKUP(A132,[1]Tørstofindhold!A$2:B$24,2,FALSE),0)</f>
        <v>0</v>
      </c>
      <c r="W132" s="192">
        <f>J132*IFERROR(VLOOKUP(A132,[1]Tørstofindhold!A$2:B$24,2,FALSE),0)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5735954.3578613317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5735954.3578613317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-12398.948738538253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156492.78628542495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5.4772475199898727</v>
      </c>
      <c r="U136" s="191">
        <f>O136*IFERROR(VLOOKUP(A136,[1]Tørstofindhold!A$2:B$24,2,FALSE),0)</f>
        <v>0</v>
      </c>
      <c r="V136" s="192">
        <f>IF(D136=År1,P136,SUM(O136,P136))*IFERROR(VLOOKUP(A136,[1]Tørstofindhold!A$2:B$24,2,FALSE),0)</f>
        <v>0</v>
      </c>
      <c r="W136" s="192">
        <f>J136*IFERROR(VLOOKUP(A136,[1]Tørstofindhold!A$2:B$24,2,FALSE),0)</f>
        <v>0</v>
      </c>
      <c r="X136" s="193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1009401.1411867546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-632724.4697081605</v>
      </c>
      <c r="O137" s="195">
        <f t="shared" si="39"/>
        <v>0</v>
      </c>
      <c r="P137" s="205">
        <f t="shared" si="24"/>
        <v>4034.07077562927</v>
      </c>
      <c r="Q137" s="192">
        <f>IFERROR(VLOOKUP(A137,[1]Energiindhold!$A$2:$C$11,3,FALSE),IFERROR(VLOOKUP(A137,[1]Biogasudbytte!$A$2:$B$18,2,FALSE)*[1]Energiindhold!$C$10,0))*O137</f>
        <v>0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2">
        <f>IFERROR(VLOOKUP(A137,[1]Biogasudbytte!$A$2:$B$18,2,FALSE)*[1]Energiindhold!$C$10,0)*J137*IFERROR(VLOOKUP(A137,Biogasanlæg!$F$3:$G$8,2,FALSE),1)</f>
        <v>1.0948629447888865E-2</v>
      </c>
      <c r="T137" s="193">
        <f t="shared" si="25"/>
        <v>0</v>
      </c>
      <c r="U137" s="191">
        <f>O137*IFERROR(VLOOKUP(A137,[1]Tørstofindhold!A$2:B$24,2,FALSE),0)</f>
        <v>0</v>
      </c>
      <c r="V137" s="192">
        <f>IF(D137=År1,P137,SUM(O137,P137))*IFERROR(VLOOKUP(A137,[1]Tørstofindhold!A$2:B$24,2,FALSE),0)</f>
        <v>806.81415512585409</v>
      </c>
      <c r="W137" s="192">
        <f>J137*IFERROR(VLOOKUP(A137,[1]Tørstofindhold!A$2:B$24,2,FALSE),0)</f>
        <v>806.81415512585409</v>
      </c>
      <c r="X137" s="193">
        <f t="shared" si="26"/>
        <v>0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222680.59406186192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222680.59406186192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151320.29792095526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104021.41590581447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4145732.4076082129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2573468.1840518024</v>
      </c>
      <c r="O140" s="195">
        <f t="shared" si="39"/>
        <v>2573468.1840518024</v>
      </c>
      <c r="P140" s="205">
        <f t="shared" si="24"/>
        <v>1572264.2235564108</v>
      </c>
      <c r="Q140" s="192">
        <f>IFERROR(VLOOKUP(A140,[1]Energiindhold!$A$2:$C$11,3,FALSE),IFERROR(VLOOKUP(A140,[1]Biogasudbytte!$A$2:$B$18,2,FALSE)*[1]Energiindhold!$C$10,0))*O140</f>
        <v>1.2841863585236901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92">
        <f>IFERROR(VLOOKUP(A140,[1]Biogasudbytte!$A$2:$B$18,2,FALSE)*[1]Energiindhold!$C$10,0)*J140*IFERROR(VLOOKUP(A140,Biogasanlæg!$F$3:$G$8,2,FALSE),1)</f>
        <v>0.78457557019688462</v>
      </c>
      <c r="T140" s="193">
        <f t="shared" si="25"/>
        <v>1.2841863585236899</v>
      </c>
      <c r="U140" s="191">
        <f>O140*IFERROR(VLOOKUP(A140,[1]Tørstofindhold!A$2:B$24,2,FALSE),0)</f>
        <v>154408.09104310814</v>
      </c>
      <c r="V140" s="192">
        <f>IF(D140=År1,P140,SUM(O140,P140))*IFERROR(VLOOKUP(A140,[1]Tørstofindhold!A$2:B$24,2,FALSE),0)</f>
        <v>248743.94445649275</v>
      </c>
      <c r="W140" s="192">
        <f>J140*IFERROR(VLOOKUP(A140,[1]Tørstofindhold!A$2:B$24,2,FALSE),0)</f>
        <v>94335.853413384641</v>
      </c>
      <c r="X140" s="193">
        <f t="shared" si="26"/>
        <v>154408.09104310811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17318750.121095471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9178937.5641805995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8139812.5569148706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9178937.5641805995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3.9542863026490029</v>
      </c>
      <c r="S141" s="192">
        <f>IFERROR(VLOOKUP(A141,[1]Biogasudbytte!$A$2:$B$18,2,FALSE)*[1]Energiindhold!$C$10,0)*J141*IFERROR(VLOOKUP(A141,Biogasanlæg!$F$3:$G$8,2,FALSE),1)</f>
        <v>3.9542863026490029</v>
      </c>
      <c r="T141" s="193">
        <f t="shared" si="25"/>
        <v>0</v>
      </c>
      <c r="U141" s="191">
        <f>O141*IFERROR(VLOOKUP(A141,[1]Tørstofindhold!A$2:B$24,2,FALSE),0)</f>
        <v>0</v>
      </c>
      <c r="V141" s="192">
        <f>IF(D141=År1,P141,SUM(O141,P141))*IFERROR(VLOOKUP(A141,[1]Tørstofindhold!A$2:B$24,2,FALSE),0)</f>
        <v>458946.87820903002</v>
      </c>
      <c r="W141" s="192">
        <f>J141*IFERROR(VLOOKUP(A141,[1]Tørstofindhold!A$2:B$24,2,FALSE),0)</f>
        <v>458946.87820903002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1608181.0498602674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1481553.9579175585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O143*IFERROR(VLOOKUP(A143,[1]Tørstofindhold!A$2:B$24,2,FALSE),0)</f>
        <v>2025</v>
      </c>
      <c r="V143" s="192">
        <f>IF(D143=År1,P143,SUM(O143,P143))*IFERROR(VLOOKUP(A143,[1]Tørstofindhold!A$2:B$24,2,FALSE),0)</f>
        <v>2025</v>
      </c>
      <c r="W143" s="192">
        <f>J143*IFERROR(VLOOKUP(A143,[1]Tørstofindhold!A$2:B$24,2,FALSE),0)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2001135.6433479721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29.003597326661179</v>
      </c>
      <c r="U145" s="191">
        <f>O145*IFERROR(VLOOKUP(A145,[1]Tørstofindhold!A$2:B$24,2,FALSE),0)</f>
        <v>0</v>
      </c>
      <c r="V145" s="192">
        <f>IF(D145=År1,P145,SUM(O145,P145))*IFERROR(VLOOKUP(A145,[1]Tørstofindhold!A$2:B$24,2,FALSE),0)</f>
        <v>989728.33693918446</v>
      </c>
      <c r="W145" s="192">
        <f>J145*IFERROR(VLOOKUP(A145,[1]Tørstofindhold!A$2:B$24,2,FALSE),0)</f>
        <v>0</v>
      </c>
      <c r="X145" s="193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551646.84040095157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hidden="1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O149*IFERROR(VLOOKUP(A149,[1]Tørstofindhold!A$2:B$24,2,FALSE),0)</f>
        <v>0</v>
      </c>
      <c r="V149" s="192">
        <f ca="1">IF(D149=År1,P149,SUM(O149,P149))*IFERROR(VLOOKUP(A149,[1]Tørstofindhold!A$2:B$24,2,FALSE),0)</f>
        <v>93965.299605017586</v>
      </c>
      <c r="W149" s="192">
        <f ca="1">J149*IFERROR(VLOOKUP(A149,[1]Tørstofindhold!A$2:B$24,2,FALSE),0)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O150*IFERROR(VLOOKUP(A150,[1]Tørstofindhold!A$2:B$24,2,FALSE),0)</f>
        <v>0</v>
      </c>
      <c r="V150" s="192">
        <f ca="1"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O152*IFERROR(VLOOKUP(A152,[1]Tørstofindhold!A$2:B$24,2,FALSE),0)</f>
        <v>0</v>
      </c>
      <c r="V152" s="192">
        <f>IF(D152=År1,P152,SUM(O152,P152))*IFERROR(VLOOKUP(A152,[1]Tørstofindhold!A$2:B$24,2,FALSE),0)</f>
        <v>0</v>
      </c>
      <c r="W152" s="192">
        <f>J152*IFERROR(VLOOKUP(A152,[1]Tørstofindhold!A$2:B$24,2,FALSE),0)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O153*IFERROR(VLOOKUP(A153,[1]Tørstofindhold!A$2:B$24,2,FALSE),0)</f>
        <v>46023.172979508287</v>
      </c>
      <c r="V153" s="192">
        <f>IF(D153=År1,P153,SUM(O153,P153))*IFERROR(VLOOKUP(A153,[1]Tørstofindhold!A$2:B$24,2,FALSE),0)</f>
        <v>25767.69853491227</v>
      </c>
      <c r="W153" s="192">
        <f>J153*IFERROR(VLOOKUP(A153,[1]Tørstofindhold!A$2:B$24,2,FALSE),0)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O155*IFERROR(VLOOKUP(A155,[1]Tørstofindhold!A$2:B$24,2,FALSE),0)</f>
        <v>5.1667154758723441</v>
      </c>
      <c r="V155" s="192">
        <f>IF(D155=År1,P155,SUM(O155,P155))*IFERROR(VLOOKUP(A155,[1]Tørstofindhold!A$2:B$24,2,FALSE),0)</f>
        <v>21.274710783003783</v>
      </c>
      <c r="W155" s="192">
        <f>J155*IFERROR(VLOOKUP(A155,[1]Tørstofindhold!A$2:B$24,2,FALSE),0)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hidden="1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O160*IFERROR(VLOOKUP(A160,[1]Tørstofindhold!A$2:B$24,2,FALSE),0)</f>
        <v>158991.90017574377</v>
      </c>
      <c r="V160" s="192">
        <f>IF(D160=År1,P160,SUM(O160,P160))*IFERROR(VLOOKUP(A160,[1]Tørstofindhold!A$2:B$24,2,FALSE),0)</f>
        <v>2780.6341080944362</v>
      </c>
      <c r="W160" s="192">
        <f>J160*IFERROR(VLOOKUP(A160,[1]Tørstofindhold!A$2:B$24,2,FALSE),0)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O163*IFERROR(VLOOKUP(A163,[1]Tørstofindhold!A$2:B$24,2,FALSE),0)</f>
        <v>0</v>
      </c>
      <c r="V163" s="192">
        <f>IF(D163=År1,P163,SUM(O163,P163))*IFERROR(VLOOKUP(A163,[1]Tørstofindhold!A$2:B$24,2,FALSE),0)</f>
        <v>643424.50540230493</v>
      </c>
      <c r="W163" s="192">
        <f>J163*IFERROR(VLOOKUP(A163,[1]Tørstofindhold!A$2:B$24,2,FALSE),0)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O164*IFERROR(VLOOKUP(A164,[1]Tørstofindhold!A$2:B$24,2,FALSE),0)</f>
        <v>0</v>
      </c>
      <c r="V164" s="192">
        <f>IF(D164=År1,P164,SUM(O164,P164))*IFERROR(VLOOKUP(A164,[1]Tørstofindhold!A$2:B$24,2,FALSE),0)</f>
        <v>135703.9537013004</v>
      </c>
      <c r="W164" s="192">
        <f>J164*IFERROR(VLOOKUP(A164,[1]Tørstofindhold!A$2:B$24,2,FALSE),0)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O166*IFERROR(VLOOKUP(A166,[1]Tørstofindhold!A$2:B$24,2,FALSE),0)</f>
        <v>0</v>
      </c>
      <c r="V166" s="192">
        <f>IF(D166=År1,P166,SUM(O166,P166))*IFERROR(VLOOKUP(A166,[1]Tørstofindhold!A$2:B$24,2,FALSE),0)</f>
        <v>117411.1041450089</v>
      </c>
      <c r="W166" s="192">
        <f>J166*IFERROR(VLOOKUP(A166,[1]Tørstofindhold!A$2:B$24,2,FALSE),0)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O169*IFERROR(VLOOKUP(A169,[1]Tørstofindhold!A$2:B$24,2,FALSE),0)</f>
        <v>405810.34249165189</v>
      </c>
      <c r="V169" s="192">
        <f>IF(D169=År1,P169,SUM(O169,P169))*IFERROR(VLOOKUP(A169,[1]Tørstofindhold!A$2:B$24,2,FALSE),0)</f>
        <v>293.20254797942562</v>
      </c>
      <c r="W169" s="192">
        <f>J169*IFERROR(VLOOKUP(A169,[1]Tørstofindhold!A$2:B$24,2,FALSE),0)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O171*IFERROR(VLOOKUP(A171,[1]Tørstofindhold!A$2:B$24,2,FALSE),0)</f>
        <v>16375.964438075878</v>
      </c>
      <c r="V171" s="192">
        <f>IF(D171=År1,P171,SUM(O171,P171))*IFERROR(VLOOKUP(A171,[1]Tørstofindhold!A$2:B$24,2,FALSE),0)</f>
        <v>21785.024548619625</v>
      </c>
      <c r="W171" s="192">
        <f>J171*IFERROR(VLOOKUP(A171,[1]Tørstofindhold!A$2:B$24,2,FALSE),0)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hidden="1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O173*IFERROR(VLOOKUP(A173,[1]Tørstofindhold!A$2:B$24,2,FALSE),0)</f>
        <v>0</v>
      </c>
      <c r="V173" s="192">
        <f>IF(D173=År1,P173,SUM(O173,P173))*IFERROR(VLOOKUP(A173,[1]Tørstofindhold!A$2:B$24,2,FALSE),0)</f>
        <v>4561.3695205316753</v>
      </c>
      <c r="W173" s="192">
        <f>J173*IFERROR(VLOOKUP(A173,[1]Tørstofindhold!A$2:B$24,2,FALSE),0)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O175*IFERROR(VLOOKUP(A175,[1]Tørstofindhold!A$2:B$24,2,FALSE),0)</f>
        <v>0.17965298253572234</v>
      </c>
      <c r="V175" s="192">
        <f>IF(D175=År1,P175,SUM(O175,P175))*IFERROR(VLOOKUP(A175,[1]Tørstofindhold!A$2:B$24,2,FALSE),0)</f>
        <v>0</v>
      </c>
      <c r="W175" s="192">
        <f>J175*IFERROR(VLOOKUP(A175,[1]Tørstofindhold!A$2:B$24,2,FALSE),0)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O178*IFERROR(VLOOKUP(A178,[1]Tørstofindhold!A$2:B$24,2,FALSE),0)</f>
        <v>0</v>
      </c>
      <c r="V178" s="192">
        <f>IF(D178=År1,P178,SUM(O178,P178))*IFERROR(VLOOKUP(A178,[1]Tørstofindhold!A$2:B$24,2,FALSE),0)</f>
        <v>15594.58777718433</v>
      </c>
      <c r="W178" s="192">
        <f>J178*IFERROR(VLOOKUP(A178,[1]Tørstofindhold!A$2:B$24,2,FALSE),0)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4" t="s">
        <v>316</v>
      </c>
      <c r="B179" s="194" t="s">
        <v>322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O179*IFERROR(VLOOKUP(A179,[1]Tørstofindhold!A$2:B$24,2,FALSE),0)</f>
        <v>0</v>
      </c>
      <c r="V179" s="192">
        <f>IF(D179=År1,P179,SUM(O179,P179))*IFERROR(VLOOKUP(A179,[1]Tørstofindhold!A$2:B$24,2,FALSE),0)</f>
        <v>0</v>
      </c>
      <c r="W179" s="192">
        <f>J179*IFERROR(VLOOKUP(A179,[1]Tørstofindhold!A$2:B$24,2,FALSE),0)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4" t="s">
        <v>317</v>
      </c>
      <c r="B180" s="194" t="s">
        <v>322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O180*IFERROR(VLOOKUP(A180,[1]Tørstofindhold!A$2:B$24,2,FALSE),0)</f>
        <v>0</v>
      </c>
      <c r="V180" s="192">
        <f>IF(D180=År1,P180,SUM(O180,P180))*IFERROR(VLOOKUP(A180,[1]Tørstofindhold!A$2:B$24,2,FALSE),0)</f>
        <v>0</v>
      </c>
      <c r="W180" s="192">
        <f>J180*IFERROR(VLOOKUP(A180,[1]Tørstofindhold!A$2:B$24,2,FALSE),0)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4">
        <f t="shared" si="48"/>
        <v>0</v>
      </c>
      <c r="O184" s="195">
        <f t="shared" si="39"/>
        <v>0</v>
      </c>
      <c r="P184" s="205">
        <f t="shared" si="49"/>
        <v>32210.735628649098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1.1273757470027184</v>
      </c>
      <c r="U184" s="191">
        <f>O184*IFERROR(VLOOKUP(A184,[1]Tørstofindhold!A$2:B$24,2,FALSE),0)</f>
        <v>0</v>
      </c>
      <c r="V184" s="192">
        <f>IF(D184=År1,P184,SUM(O184,P184))*IFERROR(VLOOKUP(A184,[1]Tørstofindhold!A$2:B$24,2,FALSE),0)</f>
        <v>0</v>
      </c>
      <c r="W184" s="192">
        <f>J184*IFERROR(VLOOKUP(A184,[1]Tørstofindhold!A$2:B$24,2,FALSE),0)</f>
        <v>0</v>
      </c>
      <c r="X184" s="193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O185*IFERROR(VLOOKUP(A185,[1]Tørstofindhold!A$2:B$24,2,FALSE),0)</f>
        <v>331272.92830018292</v>
      </c>
      <c r="V185" s="192">
        <f>IF(D185=År1,P185,SUM(O185,P185))*IFERROR(VLOOKUP(A185,[1]Tørstofindhold!A$2:B$24,2,FALSE),0)</f>
        <v>4908.7902151605549</v>
      </c>
      <c r="W185" s="192">
        <f>J185*IFERROR(VLOOKUP(A185,[1]Tørstofindhold!A$2:B$24,2,FALSE),0)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O188*IFERROR(VLOOKUP(A188,[1]Tørstofindhold!A$2:B$24,2,FALSE),0)</f>
        <v>118698.59693418349</v>
      </c>
      <c r="V188" s="192">
        <f>IF(D188=År1,P188,SUM(O188,P188))*IFERROR(VLOOKUP(A188,[1]Tørstofindhold!A$2:B$24,2,FALSE),0)</f>
        <v>72519.084752050971</v>
      </c>
      <c r="W188" s="192">
        <f>J188*IFERROR(VLOOKUP(A188,[1]Tørstofindhold!A$2:B$24,2,FALSE),0)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O189*IFERROR(VLOOKUP(A189,[1]Tørstofindhold!A$2:B$24,2,FALSE),0)</f>
        <v>0</v>
      </c>
      <c r="V189" s="192">
        <f>IF(D189=År1,P189,SUM(O189,P189))*IFERROR(VLOOKUP(A189,[1]Tørstofindhold!A$2:B$24,2,FALSE),0)</f>
        <v>19021.363017805568</v>
      </c>
      <c r="W189" s="192">
        <f>J189*IFERROR(VLOOKUP(A189,[1]Tørstofindhold!A$2:B$24,2,FALSE),0)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O191*IFERROR(VLOOKUP(A191,[1]Tørstofindhold!A$2:B$24,2,FALSE),0)</f>
        <v>0</v>
      </c>
      <c r="V191" s="192">
        <f>IF(D191=År1,P191,SUM(O191,P191))*IFERROR(VLOOKUP(A191,[1]Tørstofindhold!A$2:B$24,2,FALSE),0)</f>
        <v>0</v>
      </c>
      <c r="W191" s="192">
        <f>J191*IFERROR(VLOOKUP(A191,[1]Tørstofindhold!A$2:B$24,2,FALSE),0)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O193*IFERROR(VLOOKUP(A193,[1]Tørstofindhold!A$2:B$24,2,FALSE),0)</f>
        <v>0</v>
      </c>
      <c r="V193" s="192">
        <f>IF(D193=År1,P193,SUM(O193,P193))*IFERROR(VLOOKUP(A193,[1]Tørstofindhold!A$2:B$24,2,FALSE),0)</f>
        <v>337109.41129074246</v>
      </c>
      <c r="W193" s="192">
        <f>J193*IFERROR(VLOOKUP(A193,[1]Tørstofindhold!A$2:B$24,2,FALSE),0)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hidden="1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21532.175325477547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-6677.1647991509926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19052.485337519021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O197*IFERROR(VLOOKUP(A197,[1]Tørstofindhold!A$2:B$24,2,FALSE),0)</f>
        <v>0</v>
      </c>
      <c r="V197" s="192">
        <f ca="1">IF(D197=År1,P197,SUM(O197,P197))*IFERROR(VLOOKUP(A197,[1]Tørstofindhold!A$2:B$24,2,FALSE),0)</f>
        <v>47295.572483938791</v>
      </c>
      <c r="W197" s="192">
        <f ca="1">J197*IFERROR(VLOOKUP(A197,[1]Tørstofindhold!A$2:B$24,2,FALSE),0)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114627799.06724329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114627799.06724329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114627799.06724329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O198*IFERROR(VLOOKUP(A198,[1]Tørstofindhold!A$2:B$24,2,FALSE),0)</f>
        <v>0</v>
      </c>
      <c r="V198" s="192">
        <f ca="1"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3841124.6628314275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3436648.7301143073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404475.93271712027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O200*IFERROR(VLOOKUP(A200,[1]Tørstofindhold!A$2:B$24,2,FALSE),0)</f>
        <v>0</v>
      </c>
      <c r="V200" s="192">
        <f>IF(D200=År1,P200,SUM(O200,P200))*IFERROR(VLOOKUP(A200,[1]Tørstofindhold!A$2:B$24,2,FALSE),0)</f>
        <v>0</v>
      </c>
      <c r="W200" s="192">
        <f>J200*IFERROR(VLOOKUP(A200,[1]Tørstofindhold!A$2:B$24,2,FALSE),0)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hidden="1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429666.13151061774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133503.40514794196</v>
      </c>
      <c r="O201" s="195">
        <f t="shared" si="59"/>
        <v>133503.40514794196</v>
      </c>
      <c r="P201" s="205">
        <f t="shared" si="49"/>
        <v>214833.06575530887</v>
      </c>
      <c r="Q201" s="192">
        <f>IFERROR(VLOOKUP(A201,[1]Energiindhold!$A$2:$C$11,3,FALSE),IFERROR(VLOOKUP(A201,[1]Biogasudbytte!$A$2:$B$18,2,FALSE)*[1]Energiindhold!$C$10,0))*O201</f>
        <v>0.28756633468866699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92">
        <f>IFERROR(VLOOKUP(A201,[1]Biogasudbytte!$A$2:$B$18,2,FALSE)*[1]Energiindhold!$C$10,0)*J201*IFERROR(VLOOKUP(A201,Biogasanlæg!$F$3:$G$8,2,FALSE),1)</f>
        <v>0.4627504236369353</v>
      </c>
      <c r="T201" s="193">
        <f t="shared" si="50"/>
        <v>0.28756633468866699</v>
      </c>
      <c r="U201" s="191">
        <f>O201*IFERROR(VLOOKUP(A201,[1]Tørstofindhold!A$2:B$24,2,FALSE),0)</f>
        <v>40051.021544382587</v>
      </c>
      <c r="V201" s="192">
        <f>IF(D201=År1,P201,SUM(O201,P201))*IFERROR(VLOOKUP(A201,[1]Tørstofindhold!A$2:B$24,2,FALSE),0)</f>
        <v>104500.94127097525</v>
      </c>
      <c r="W201" s="192">
        <f>J201*IFERROR(VLOOKUP(A201,[1]Tørstofindhold!A$2:B$24,2,FALSE),0)</f>
        <v>64449.919726592656</v>
      </c>
      <c r="X201" s="193">
        <f t="shared" si="51"/>
        <v>40051.021544382595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hidden="1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840.2423101834255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420.12115509171275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318.09173171229679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102.02942337941602</v>
      </c>
      <c r="O203" s="195">
        <f t="shared" si="59"/>
        <v>102.02942337941602</v>
      </c>
      <c r="P203" s="205">
        <f t="shared" si="49"/>
        <v>420.12115509171275</v>
      </c>
      <c r="Q203" s="192">
        <f>IFERROR(VLOOKUP(A203,[1]Energiindhold!$A$2:$C$11,3,FALSE),IFERROR(VLOOKUP(A203,[1]Biogasudbytte!$A$2:$B$18,2,FALSE)*[1]Energiindhold!$C$10,0))*O203</f>
        <v>4.7983417521105557E-5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2.4556219554918715E-4</v>
      </c>
      <c r="S203" s="192">
        <f>IFERROR(VLOOKUP(A203,[1]Biogasudbytte!$A$2:$B$18,2,FALSE)*[1]Energiindhold!$C$10,0)*J203*IFERROR(VLOOKUP(A203,Biogasanlæg!$F$3:$G$8,2,FALSE),1)</f>
        <v>1.9757877802808159E-4</v>
      </c>
      <c r="T203" s="193">
        <f t="shared" si="50"/>
        <v>4.7983417521105557E-5</v>
      </c>
      <c r="U203" s="191">
        <f>O203*IFERROR(VLOOKUP(A203,[1]Tørstofindhold!A$2:B$24,2,FALSE),0)</f>
        <v>6.4278536729032094</v>
      </c>
      <c r="V203" s="192">
        <f>IF(D203=År1,P203,SUM(O203,P203))*IFERROR(VLOOKUP(A203,[1]Tørstofindhold!A$2:B$24,2,FALSE),0)</f>
        <v>32.895486443681108</v>
      </c>
      <c r="W203" s="192">
        <f>J203*IFERROR(VLOOKUP(A203,[1]Tørstofindhold!A$2:B$24,2,FALSE),0)</f>
        <v>26.467632770777904</v>
      </c>
      <c r="X203" s="193">
        <f t="shared" si="51"/>
        <v>6.4278536729032041</v>
      </c>
      <c r="Y203" s="171">
        <f t="shared" si="60"/>
        <v>0</v>
      </c>
      <c r="Z203" s="103">
        <f t="shared" si="61"/>
        <v>1</v>
      </c>
    </row>
    <row r="204" spans="1:26" hidden="1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18292.854791513339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-12267.263676834245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645001.32802557282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-206637.82158539316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378447.99987344025</v>
      </c>
      <c r="O208" s="195">
        <f t="shared" si="59"/>
        <v>378447.99987344025</v>
      </c>
      <c r="P208" s="205">
        <f t="shared" si="49"/>
        <v>10062.940438050116</v>
      </c>
      <c r="Q208" s="192">
        <f>IFERROR(VLOOKUP(A208,[1]Energiindhold!$A$2:$C$11,3,FALSE),IFERROR(VLOOKUP(A208,[1]Biogasudbytte!$A$2:$B$18,2,FALSE)*[1]Energiindhold!$C$10,0))*O208</f>
        <v>0.69629701376714592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0.71481156630560339</v>
      </c>
      <c r="S208" s="192">
        <f>IFERROR(VLOOKUP(A208,[1]Biogasudbytte!$A$2:$B$18,2,FALSE)*[1]Energiindhold!$C$10,0)*J208*IFERROR(VLOOKUP(A208,Biogasanlæg!$F$3:$G$8,2,FALSE),1)</f>
        <v>1.8514552538457459E-2</v>
      </c>
      <c r="T208" s="193">
        <f t="shared" si="50"/>
        <v>0.69629701376714592</v>
      </c>
      <c r="U208" s="191">
        <f>O208*IFERROR(VLOOKUP(A208,[1]Tørstofindhold!A$2:B$24,2,FALSE),0)</f>
        <v>105965.43996456328</v>
      </c>
      <c r="V208" s="192">
        <f>IF(D208=År1,P208,SUM(O208,P208))*IFERROR(VLOOKUP(A208,[1]Tørstofindhold!A$2:B$24,2,FALSE),0)</f>
        <v>108783.06328721732</v>
      </c>
      <c r="W208" s="192">
        <f>J208*IFERROR(VLOOKUP(A208,[1]Tørstofindhold!A$2:B$24,2,FALSE),0)</f>
        <v>2817.623322654033</v>
      </c>
      <c r="X208" s="193">
        <f t="shared" si="51"/>
        <v>105965.43996456328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-133067.72028032725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124225.03152224726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23940.442278690352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675722.17739080405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699662.61966949445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7.1221631421450287</v>
      </c>
      <c r="S211" s="192">
        <f>IFERROR(VLOOKUP(A211,[1]Biogasudbytte!$A$2:$B$18,2,FALSE)*[1]Energiindhold!$C$10,0)*J211*IFERROR(VLOOKUP(A211,Biogasanlæg!$F$3:$G$8,2,FALSE),1)</f>
        <v>0.13802957757548037</v>
      </c>
      <c r="T211" s="193">
        <f t="shared" si="50"/>
        <v>6.9841335645695484</v>
      </c>
      <c r="U211" s="191">
        <f>O211*IFERROR(VLOOKUP(A211,[1]Tørstofindhold!A$2:B$24,2,FALSE),0)</f>
        <v>0</v>
      </c>
      <c r="V211" s="192">
        <f>IF(D211=År1,P211,SUM(O211,P211))*IFERROR(VLOOKUP(A211,[1]Tørstofindhold!A$2:B$24,2,FALSE),0)</f>
        <v>594713.22671907023</v>
      </c>
      <c r="W211" s="192">
        <f>J211*IFERROR(VLOOKUP(A211,[1]Tørstofindhold!A$2:B$24,2,FALSE),0)</f>
        <v>20349.375936886798</v>
      </c>
      <c r="X211" s="193">
        <f t="shared" si="51"/>
        <v>574363.85078218346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O212*IFERROR(VLOOKUP(A212,[1]Tørstofindhold!A$2:B$24,2,FALSE),0)</f>
        <v>0</v>
      </c>
      <c r="V212" s="192">
        <f>IF(D212=År1,P212,SUM(O212,P212))*IFERROR(VLOOKUP(A212,[1]Tørstofindhold!A$2:B$24,2,FALSE),0)</f>
        <v>136822.46703948267</v>
      </c>
      <c r="W212" s="192">
        <f>J212*IFERROR(VLOOKUP(A212,[1]Tørstofindhold!A$2:B$24,2,FALSE),0)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-711176.07171098527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hidden="1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210543.78587843414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19521.564274117642</v>
      </c>
      <c r="O214" s="195">
        <f t="shared" si="59"/>
        <v>19521.564274117642</v>
      </c>
      <c r="P214" s="205">
        <f t="shared" si="49"/>
        <v>191022.2216043165</v>
      </c>
      <c r="Q214" s="192">
        <f>IFERROR(VLOOKUP(A214,[1]Energiindhold!$A$2:$C$11,3,FALSE),IFERROR(VLOOKUP(A214,[1]Biogasudbytte!$A$2:$B$18,2,FALSE)*[1]Energiindhold!$C$10,0))*O214</f>
        <v>8.4589475803107383E-2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92">
        <f>IFERROR(VLOOKUP(A214,[1]Biogasudbytte!$A$2:$B$18,2,FALSE)*[1]Energiindhold!$C$10,0)*J214*IFERROR(VLOOKUP(A214,Biogasanlæg!$F$3:$G$8,2,FALSE),1)</f>
        <v>0.70356550123526529</v>
      </c>
      <c r="T214" s="193">
        <f t="shared" si="50"/>
        <v>8.4589475803107383E-2</v>
      </c>
      <c r="U214" s="191">
        <f>O214*IFERROR(VLOOKUP(A214,[1]Tørstofindhold!A$2:B$24,2,FALSE),0)</f>
        <v>8199.0569951294092</v>
      </c>
      <c r="V214" s="192">
        <f>IF(D214=År1,P214,SUM(O214,P214))*IFERROR(VLOOKUP(A214,[1]Tørstofindhold!A$2:B$24,2,FALSE),0)</f>
        <v>88428.390068942332</v>
      </c>
      <c r="W214" s="192">
        <f>J214*IFERROR(VLOOKUP(A214,[1]Tørstofindhold!A$2:B$24,2,FALSE),0)</f>
        <v>80229.33307381293</v>
      </c>
      <c r="X214" s="193">
        <f t="shared" si="51"/>
        <v>8199.0569951294019</v>
      </c>
      <c r="Y214" s="171">
        <f t="shared" si="60"/>
        <v>0</v>
      </c>
      <c r="Z214" s="103">
        <f t="shared" si="61"/>
        <v>1</v>
      </c>
    </row>
    <row r="215" spans="1:26" hidden="1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153987.37784910508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15892.867409817249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865945.92924660386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1286034.2693294734</v>
      </c>
      <c r="O217" s="195">
        <f t="shared" si="59"/>
        <v>1103365.8104808955</v>
      </c>
      <c r="P217" s="205">
        <f t="shared" si="63"/>
        <v>952.06663022948101</v>
      </c>
      <c r="Q217" s="192">
        <f>IFERROR(VLOOKUP(A217,[1]Energiindhold!$A$2:$C$11,3,FALSE),IFERROR(VLOOKUP(A217,[1]Biogasudbytte!$A$2:$B$18,2,FALSE)*[1]Energiindhold!$C$10,0))*O217</f>
        <v>3.7788734296836002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3.7821341246028077</v>
      </c>
      <c r="S217" s="192">
        <f>IFERROR(VLOOKUP(A217,[1]Biogasudbytte!$A$2:$B$18,2,FALSE)*[1]Energiindhold!$C$10,0)*J217*IFERROR(VLOOKUP(A217,Biogasanlæg!$F$3:$G$8,2,FALSE),1)</f>
        <v>3.2606949192077409E-3</v>
      </c>
      <c r="T217" s="193">
        <f t="shared" si="64"/>
        <v>3.7788734296836002</v>
      </c>
      <c r="U217" s="191">
        <f>O217*IFERROR(VLOOKUP(A217,[1]Tørstofindhold!A$2:B$24,2,FALSE),0)</f>
        <v>342043.40124907758</v>
      </c>
      <c r="V217" s="192">
        <f>IF(D217=År1,P217,SUM(O217,P217))*IFERROR(VLOOKUP(A217,[1]Tørstofindhold!A$2:B$24,2,FALSE),0)</f>
        <v>342338.54190444876</v>
      </c>
      <c r="W217" s="192">
        <f>J217*IFERROR(VLOOKUP(A217,[1]Tørstofindhold!A$2:B$24,2,FALSE),0)</f>
        <v>295.14065537113913</v>
      </c>
      <c r="X217" s="193">
        <f t="shared" si="65"/>
        <v>342043.40124907764</v>
      </c>
      <c r="Y217" s="171">
        <f t="shared" si="60"/>
        <v>0</v>
      </c>
      <c r="Z217" s="103">
        <f t="shared" si="61"/>
        <v>1</v>
      </c>
    </row>
    <row r="218" spans="1:26" hidden="1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345387.29207403271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-345387.29207403271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1107347.0071994506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841583.7254715825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176068.17414471263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89695.107583155506</v>
      </c>
      <c r="O219" s="195">
        <f t="shared" si="59"/>
        <v>89695.107583155506</v>
      </c>
      <c r="P219" s="205">
        <f t="shared" si="63"/>
        <v>841583.7254715825</v>
      </c>
      <c r="Q219" s="192">
        <f>IFERROR(VLOOKUP(A219,[1]Energiindhold!$A$2:$C$11,3,FALSE),IFERROR(VLOOKUP(A219,[1]Biogasudbytte!$A$2:$B$18,2,FALSE)*[1]Energiindhold!$C$10,0))*O219</f>
        <v>4.540276650751749E-2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0.47140403250397789</v>
      </c>
      <c r="S219" s="192">
        <f>IFERROR(VLOOKUP(A219,[1]Biogasudbytte!$A$2:$B$18,2,FALSE)*[1]Energiindhold!$C$10,0)*J219*IFERROR(VLOOKUP(A219,Biogasanlæg!$F$3:$G$8,2,FALSE),1)</f>
        <v>0.42600126599646038</v>
      </c>
      <c r="T219" s="193">
        <f t="shared" si="64"/>
        <v>4.5402766507517511E-2</v>
      </c>
      <c r="U219" s="191">
        <f>O219*IFERROR(VLOOKUP(A219,[1]Tørstofindhold!A$2:B$24,2,FALSE),0)</f>
        <v>6816.8281763198183</v>
      </c>
      <c r="V219" s="192">
        <f>IF(D219=År1,P219,SUM(O219,P219))*IFERROR(VLOOKUP(A219,[1]Tørstofindhold!A$2:B$24,2,FALSE),0)</f>
        <v>70777.191312160081</v>
      </c>
      <c r="W219" s="192">
        <f>J219*IFERROR(VLOOKUP(A219,[1]Tørstofindhold!A$2:B$24,2,FALSE),0)</f>
        <v>63960.363135840271</v>
      </c>
      <c r="X219" s="193">
        <f t="shared" si="65"/>
        <v>6816.8281763198102</v>
      </c>
      <c r="Y219" s="171">
        <f t="shared" si="60"/>
        <v>0</v>
      </c>
      <c r="Z219" s="103">
        <f t="shared" si="61"/>
        <v>1</v>
      </c>
    </row>
    <row r="220" spans="1:26" hidden="1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138252.64067231142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-84995.951783159224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-459563.22968185344</v>
      </c>
      <c r="O221" s="195">
        <f t="shared" si="59"/>
        <v>0</v>
      </c>
      <c r="P221" s="205">
        <f t="shared" si="63"/>
        <v>15333.686496408332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2">
        <f>IFERROR(VLOOKUP(A221,[1]Biogasudbytte!$A$2:$B$18,2,FALSE)*[1]Energiindhold!$C$10,0)*J221*IFERROR(VLOOKUP(A221,Biogasanlæg!$F$3:$G$8,2,FALSE),1)</f>
        <v>5.5047934522105921E-2</v>
      </c>
      <c r="T221" s="193">
        <f t="shared" si="64"/>
        <v>0</v>
      </c>
      <c r="U221" s="191">
        <f>O221*IFERROR(VLOOKUP(A221,[1]Tørstofindhold!A$2:B$24,2,FALSE),0)</f>
        <v>0</v>
      </c>
      <c r="V221" s="192">
        <f>IF(D221=År1,P221,SUM(O221,P221))*IFERROR(VLOOKUP(A221,[1]Tørstofindhold!A$2:B$24,2,FALSE),0)</f>
        <v>4600.1059489224999</v>
      </c>
      <c r="W221" s="192">
        <f>J221*IFERROR(VLOOKUP(A221,[1]Tørstofindhold!A$2:B$24,2,FALSE),0)</f>
        <v>4600.1059489224999</v>
      </c>
      <c r="X221" s="193">
        <f t="shared" si="65"/>
        <v>0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266755.84485045663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-142279.58695665724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O223*IFERROR(VLOOKUP(A223,[1]Tørstofindhold!A$2:B$24,2,FALSE),0)</f>
        <v>486.50027670673614</v>
      </c>
      <c r="V223" s="192">
        <f>IF(D223=År1,P223,SUM(O223,P223))*IFERROR(VLOOKUP(A223,[1]Tørstofindhold!A$2:B$24,2,FALSE),0)</f>
        <v>486.50027670673614</v>
      </c>
      <c r="W223" s="192">
        <f>J223*IFERROR(VLOOKUP(A223,[1]Tørstofindhold!A$2:B$24,2,FALSE),0)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9054.9543846077213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-42920.754795020359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418150.43620360433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39419.677245239443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0.72532206131240562</v>
      </c>
      <c r="U226" s="191">
        <f>O226*IFERROR(VLOOKUP(A226,[1]Tørstofindhold!A$2:B$24,2,FALSE),0)</f>
        <v>0</v>
      </c>
      <c r="V226" s="192">
        <f>IF(D226=År1,P226,SUM(O226,P226))*IFERROR(VLOOKUP(A226,[1]Tørstofindhold!A$2:B$24,2,FALSE),0)</f>
        <v>16359.166056774371</v>
      </c>
      <c r="W226" s="192">
        <f>J226*IFERROR(VLOOKUP(A226,[1]Tørstofindhold!A$2:B$24,2,FALSE),0)</f>
        <v>0</v>
      </c>
      <c r="X226" s="193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O227*IFERROR(VLOOKUP(A227,[1]Tørstofindhold!A$2:B$24,2,FALSE),0)</f>
        <v>0</v>
      </c>
      <c r="V227" s="192">
        <f>IF(D227=År1,P227,SUM(O227,P227))*IFERROR(VLOOKUP(A227,[1]Tørstofindhold!A$2:B$24,2,FALSE),0)</f>
        <v>0</v>
      </c>
      <c r="W227" s="192">
        <f>J227*IFERROR(VLOOKUP(A227,[1]Tørstofindhold!A$2:B$24,2,FALSE),0)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O228*IFERROR(VLOOKUP(A228,[1]Tørstofindhold!A$2:B$24,2,FALSE),0)</f>
        <v>0</v>
      </c>
      <c r="V228" s="192">
        <f>IF(D228=År1,P228,SUM(O228,P228))*IFERROR(VLOOKUP(A228,[1]Tørstofindhold!A$2:B$24,2,FALSE),0)</f>
        <v>0</v>
      </c>
      <c r="W228" s="192">
        <f>J228*IFERROR(VLOOKUP(A228,[1]Tørstofindhold!A$2:B$24,2,FALSE),0)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415393.31848489033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415393.31848489033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70669.372240785742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65410.493211637622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2.2893672624073167</v>
      </c>
      <c r="U232" s="191">
        <f>O232*IFERROR(VLOOKUP(A232,[1]Tørstofindhold!A$2:B$24,2,FALSE),0)</f>
        <v>0</v>
      </c>
      <c r="V232" s="192">
        <f>IF(D232=År1,P232,SUM(O232,P232))*IFERROR(VLOOKUP(A232,[1]Tørstofindhold!A$2:B$24,2,FALSE),0)</f>
        <v>0</v>
      </c>
      <c r="W232" s="192">
        <f>J232*IFERROR(VLOOKUP(A232,[1]Tørstofindhold!A$2:B$24,2,FALSE),0)</f>
        <v>0</v>
      </c>
      <c r="X232" s="193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123895.05219603248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2233274.2678207979</v>
      </c>
      <c r="O233" s="195">
        <f t="shared" si="59"/>
        <v>1614896.5629563848</v>
      </c>
      <c r="P233" s="205">
        <f t="shared" si="63"/>
        <v>24569.279216726416</v>
      </c>
      <c r="Q233" s="192">
        <f>IFERROR(VLOOKUP(A233,[1]Energiindhold!$A$2:$C$11,3,FALSE),IFERROR(VLOOKUP(A233,[1]Biogasudbytte!$A$2:$B$18,2,FALSE)*[1]Energiindhold!$C$10,0))*O233</f>
        <v>4.3828938677261471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4.4495758742915115</v>
      </c>
      <c r="S233" s="192">
        <f>IFERROR(VLOOKUP(A233,[1]Biogasudbytte!$A$2:$B$18,2,FALSE)*[1]Energiindhold!$C$10,0)*J233*IFERROR(VLOOKUP(A233,Biogasanlæg!$F$3:$G$8,2,FALSE),1)</f>
        <v>6.668200656536416E-2</v>
      </c>
      <c r="T233" s="193">
        <f t="shared" si="64"/>
        <v>4.3828938677261471</v>
      </c>
      <c r="U233" s="191">
        <f>O233*IFERROR(VLOOKUP(A233,[1]Tørstofindhold!A$2:B$24,2,FALSE),0)</f>
        <v>322979.312591277</v>
      </c>
      <c r="V233" s="192">
        <f>IF(D233=År1,P233,SUM(O233,P233))*IFERROR(VLOOKUP(A233,[1]Tørstofindhold!A$2:B$24,2,FALSE),0)</f>
        <v>327893.16843462223</v>
      </c>
      <c r="W233" s="192">
        <f>J233*IFERROR(VLOOKUP(A233,[1]Tørstofindhold!A$2:B$24,2,FALSE),0)</f>
        <v>4913.8558433452836</v>
      </c>
      <c r="X233" s="193">
        <f t="shared" si="65"/>
        <v>322979.31259127695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27042.987950784696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27042.987950784696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21948.511505172726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16142.992552429989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3345784.8962579207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2076899.8417262346</v>
      </c>
      <c r="O236" s="195">
        <f t="shared" si="59"/>
        <v>2076899.8417262346</v>
      </c>
      <c r="P236" s="205">
        <f t="shared" si="63"/>
        <v>1268885.054531686</v>
      </c>
      <c r="Q236" s="192">
        <f>IFERROR(VLOOKUP(A236,[1]Energiindhold!$A$2:$C$11,3,FALSE),IFERROR(VLOOKUP(A236,[1]Biogasudbytte!$A$2:$B$18,2,FALSE)*[1]Energiindhold!$C$10,0))*O236</f>
        <v>1.0363937900198086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92">
        <f>IFERROR(VLOOKUP(A236,[1]Biogasudbytte!$A$2:$B$18,2,FALSE)*[1]Energiindhold!$C$10,0)*J236*IFERROR(VLOOKUP(A236,Biogasanlæg!$F$3:$G$8,2,FALSE),1)</f>
        <v>0.63318633106185673</v>
      </c>
      <c r="T236" s="193">
        <f t="shared" si="64"/>
        <v>1.0363937900198086</v>
      </c>
      <c r="U236" s="191">
        <f>O236*IFERROR(VLOOKUP(A236,[1]Tørstofindhold!A$2:B$24,2,FALSE),0)</f>
        <v>124613.99050357408</v>
      </c>
      <c r="V236" s="192">
        <f>IF(D236=År1,P236,SUM(O236,P236))*IFERROR(VLOOKUP(A236,[1]Tørstofindhold!A$2:B$24,2,FALSE),0)</f>
        <v>200747.09377547522</v>
      </c>
      <c r="W236" s="192">
        <f>J236*IFERROR(VLOOKUP(A236,[1]Tørstofindhold!A$2:B$24,2,FALSE),0)</f>
        <v>76133.103271901156</v>
      </c>
      <c r="X236" s="193">
        <f t="shared" si="65"/>
        <v>124613.99050357407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2621159.8056514151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1389214.6969952502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1231945.108656165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1389214.6969952502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0.59847369146555385</v>
      </c>
      <c r="S237" s="192">
        <f>IFERROR(VLOOKUP(A237,[1]Biogasudbytte!$A$2:$B$18,2,FALSE)*[1]Energiindhold!$C$10,0)*J237*IFERROR(VLOOKUP(A237,Biogasanlæg!$F$3:$G$8,2,FALSE),1)</f>
        <v>0.59847369146555385</v>
      </c>
      <c r="T237" s="193">
        <f t="shared" si="64"/>
        <v>0</v>
      </c>
      <c r="U237" s="191">
        <f>O237*IFERROR(VLOOKUP(A237,[1]Tørstofindhold!A$2:B$24,2,FALSE),0)</f>
        <v>0</v>
      </c>
      <c r="V237" s="192">
        <f>IF(D237=År1,P237,SUM(O237,P237))*IFERROR(VLOOKUP(A237,[1]Tørstofindhold!A$2:B$24,2,FALSE),0)</f>
        <v>69460.734849762506</v>
      </c>
      <c r="W237" s="192">
        <f>J237*IFERROR(VLOOKUP(A237,[1]Tørstofindhold!A$2:B$24,2,FALSE),0)</f>
        <v>69460.734849762506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239604.1344339604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134077.69458441247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O239*IFERROR(VLOOKUP(A239,[1]Tørstofindhold!A$2:B$24,2,FALSE),0)</f>
        <v>540</v>
      </c>
      <c r="V239" s="192">
        <f>IF(D239=År1,P239,SUM(O239,P239))*IFERROR(VLOOKUP(A239,[1]Tørstofindhold!A$2:B$24,2,FALSE),0)</f>
        <v>540</v>
      </c>
      <c r="W239" s="192">
        <f>J239*IFERROR(VLOOKUP(A239,[1]Tørstofindhold!A$2:B$24,2,FALSE),0)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645037.98201828008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9.3489024359990136</v>
      </c>
      <c r="U241" s="191">
        <f>O241*IFERROR(VLOOKUP(A241,[1]Tørstofindhold!A$2:B$24,2,FALSE),0)</f>
        <v>0</v>
      </c>
      <c r="V241" s="192">
        <f>IF(D241=År1,P241,SUM(O241,P241))*IFERROR(VLOOKUP(A241,[1]Tørstofindhold!A$2:B$24,2,FALSE),0)</f>
        <v>319025.0352732077</v>
      </c>
      <c r="W241" s="192">
        <f>J241*IFERROR(VLOOKUP(A241,[1]Tørstofindhold!A$2:B$24,2,FALSE),0)</f>
        <v>0</v>
      </c>
      <c r="X241" s="193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177359.22120275494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hidden="1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20971.319509081128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-8560.6825110208265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18346.860153390175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O245*IFERROR(VLOOKUP(A245,[1]Tørstofindhold!A$2:B$24,2,FALSE),0)</f>
        <v>0</v>
      </c>
      <c r="V245" s="192">
        <f ca="1">IF(D245=År1,P245,SUM(O245,P245))*IFERROR(VLOOKUP(A245,[1]Tørstofindhold!A$2:B$24,2,FALSE),0)</f>
        <v>48241.974607965349</v>
      </c>
      <c r="W245" s="192">
        <f ca="1">J245*IFERROR(VLOOKUP(A245,[1]Tørstofindhold!A$2:B$24,2,FALSE),0)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115646884.39712635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115646884.39712635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115646884.39712635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O246*IFERROR(VLOOKUP(A246,[1]Tørstofindhold!A$2:B$24,2,FALSE),0)</f>
        <v>0</v>
      </c>
      <c r="V246" s="192">
        <f ca="1"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3840968.7851207014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3410095.0601985683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430873.72492213314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O248*IFERROR(VLOOKUP(A248,[1]Tørstofindhold!A$2:B$24,2,FALSE),0)</f>
        <v>0</v>
      </c>
      <c r="V248" s="192">
        <f>IF(D248=År1,P248,SUM(O248,P248))*IFERROR(VLOOKUP(A248,[1]Tørstofindhold!A$2:B$24,2,FALSE),0)</f>
        <v>0</v>
      </c>
      <c r="W248" s="192">
        <f>J248*IFERROR(VLOOKUP(A248,[1]Tørstofindhold!A$2:B$24,2,FALSE),0)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hidden="1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452469.72841919982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140588.80847310851</v>
      </c>
      <c r="O249" s="195">
        <f t="shared" si="59"/>
        <v>140588.80847310851</v>
      </c>
      <c r="P249" s="205">
        <f t="shared" si="63"/>
        <v>226234.86420959991</v>
      </c>
      <c r="Q249" s="192">
        <f>IFERROR(VLOOKUP(A249,[1]Energiindhold!$A$2:$C$11,3,FALSE),IFERROR(VLOOKUP(A249,[1]Biogasudbytte!$A$2:$B$18,2,FALSE)*[1]Energiindhold!$C$10,0))*O249</f>
        <v>0.30282829345107576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92">
        <f>IFERROR(VLOOKUP(A249,[1]Biogasudbytte!$A$2:$B$18,2,FALSE)*[1]Energiindhold!$C$10,0)*J249*IFERROR(VLOOKUP(A249,Biogasanlæg!$F$3:$G$8,2,FALSE),1)</f>
        <v>0.48730989750747822</v>
      </c>
      <c r="T249" s="193">
        <f t="shared" si="64"/>
        <v>0.30282829345107576</v>
      </c>
      <c r="U249" s="191">
        <f>O249*IFERROR(VLOOKUP(A249,[1]Tørstofindhold!A$2:B$24,2,FALSE),0)</f>
        <v>42176.642541932553</v>
      </c>
      <c r="V249" s="192">
        <f>IF(D249=År1,P249,SUM(O249,P249))*IFERROR(VLOOKUP(A249,[1]Tørstofindhold!A$2:B$24,2,FALSE),0)</f>
        <v>110047.10180481253</v>
      </c>
      <c r="W249" s="192">
        <f>J249*IFERROR(VLOOKUP(A249,[1]Tørstofindhold!A$2:B$24,2,FALSE),0)</f>
        <v>67870.459262879973</v>
      </c>
      <c r="X249" s="193">
        <f t="shared" si="65"/>
        <v>42176.642541932553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hidden="1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867.71807684226371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433.85903842113186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328.49327194742835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105.3657664737035</v>
      </c>
      <c r="O251" s="195">
        <f t="shared" si="59"/>
        <v>105.3657664737035</v>
      </c>
      <c r="P251" s="205">
        <f t="shared" si="63"/>
        <v>433.85903842113186</v>
      </c>
      <c r="Q251" s="192">
        <f>IFERROR(VLOOKUP(A251,[1]Energiindhold!$A$2:$C$11,3,FALSE),IFERROR(VLOOKUP(A251,[1]Biogasudbytte!$A$2:$B$18,2,FALSE)*[1]Energiindhold!$C$10,0))*O251</f>
        <v>4.9552466314918024E-5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2.5359203349399211E-4</v>
      </c>
      <c r="S251" s="192">
        <f>IFERROR(VLOOKUP(A251,[1]Biogasudbytte!$A$2:$B$18,2,FALSE)*[1]Energiindhold!$C$10,0)*J251*IFERROR(VLOOKUP(A251,Biogasanlæg!$F$3:$G$8,2,FALSE),1)</f>
        <v>2.040395671790741E-4</v>
      </c>
      <c r="T251" s="193">
        <f t="shared" si="64"/>
        <v>4.9552466314918011E-5</v>
      </c>
      <c r="U251" s="191">
        <f>O251*IFERROR(VLOOKUP(A251,[1]Tørstofindhold!A$2:B$24,2,FALSE),0)</f>
        <v>6.6380432878433204</v>
      </c>
      <c r="V251" s="192">
        <f>IF(D251=År1,P251,SUM(O251,P251))*IFERROR(VLOOKUP(A251,[1]Tørstofindhold!A$2:B$24,2,FALSE),0)</f>
        <v>33.971162708374628</v>
      </c>
      <c r="W251" s="192">
        <f>J251*IFERROR(VLOOKUP(A251,[1]Tørstofindhold!A$2:B$24,2,FALSE),0)</f>
        <v>27.333119420531307</v>
      </c>
      <c r="X251" s="193">
        <f t="shared" si="65"/>
        <v>6.6380432878433204</v>
      </c>
      <c r="Y251" s="171">
        <f t="shared" si="60"/>
        <v>0</v>
      </c>
      <c r="Z251" s="103">
        <f t="shared" si="61"/>
        <v>1</v>
      </c>
    </row>
    <row r="252" spans="1:26" hidden="1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17490.137871374405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-14502.864317069379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629229.83697533351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-217520.99453663599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351018.64757976285</v>
      </c>
      <c r="O256" s="195">
        <f t="shared" si="59"/>
        <v>351018.64757976285</v>
      </c>
      <c r="P256" s="205">
        <f t="shared" si="63"/>
        <v>10149.946321457959</v>
      </c>
      <c r="Q256" s="192">
        <f>IFERROR(VLOOKUP(A256,[1]Energiindhold!$A$2:$C$11,3,FALSE),IFERROR(VLOOKUP(A256,[1]Biogasudbytte!$A$2:$B$18,2,FALSE)*[1]Energiindhold!$C$10,0))*O256</f>
        <v>0.64583043421581621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0.66450506670400866</v>
      </c>
      <c r="S256" s="192">
        <f>IFERROR(VLOOKUP(A256,[1]Biogasudbytte!$A$2:$B$18,2,FALSE)*[1]Energiindhold!$C$10,0)*J256*IFERROR(VLOOKUP(A256,Biogasanlæg!$F$3:$G$8,2,FALSE),1)</f>
        <v>1.8674632488192462E-2</v>
      </c>
      <c r="T256" s="193">
        <f t="shared" si="64"/>
        <v>0.64583043421581621</v>
      </c>
      <c r="U256" s="191">
        <f>O256*IFERROR(VLOOKUP(A256,[1]Tørstofindhold!A$2:B$24,2,FALSE),0)</f>
        <v>98285.221322333615</v>
      </c>
      <c r="V256" s="192">
        <f>IF(D256=År1,P256,SUM(O256,P256))*IFERROR(VLOOKUP(A256,[1]Tørstofindhold!A$2:B$24,2,FALSE),0)</f>
        <v>101127.20629234184</v>
      </c>
      <c r="W256" s="192">
        <f>J256*IFERROR(VLOOKUP(A256,[1]Tørstofindhold!A$2:B$24,2,FALSE),0)</f>
        <v>2841.9849700082286</v>
      </c>
      <c r="X256" s="193">
        <f t="shared" si="65"/>
        <v>98285.221322333615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-146536.3132404924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123674.90928891925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24319.338016954094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655860.68265151768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680180.02066847181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6.9190631174488182</v>
      </c>
      <c r="S259" s="192">
        <f>IFERROR(VLOOKUP(A259,[1]Biogasudbytte!$A$2:$B$18,2,FALSE)*[1]Energiindhold!$C$10,0)*J259*IFERROR(VLOOKUP(A259,Biogasanlæg!$F$3:$G$8,2,FALSE),1)</f>
        <v>0.14021411611026952</v>
      </c>
      <c r="T259" s="193">
        <f t="shared" si="64"/>
        <v>6.778849001338549</v>
      </c>
      <c r="U259" s="191">
        <f>O259*IFERROR(VLOOKUP(A259,[1]Tørstofindhold!A$2:B$24,2,FALSE),0)</f>
        <v>0</v>
      </c>
      <c r="V259" s="192">
        <f>IF(D259=År1,P259,SUM(O259,P259))*IFERROR(VLOOKUP(A259,[1]Tørstofindhold!A$2:B$24,2,FALSE),0)</f>
        <v>578153.01756820106</v>
      </c>
      <c r="W259" s="192">
        <f>J259*IFERROR(VLOOKUP(A259,[1]Tørstofindhold!A$2:B$24,2,FALSE),0)</f>
        <v>20671.437314410981</v>
      </c>
      <c r="X259" s="193">
        <f t="shared" si="65"/>
        <v>557481.58025379013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O260*IFERROR(VLOOKUP(A260,[1]Tørstofindhold!A$2:B$24,2,FALSE),0)</f>
        <v>0</v>
      </c>
      <c r="V260" s="192">
        <f>IF(D260=År1,P260,SUM(O260,P260))*IFERROR(VLOOKUP(A260,[1]Tørstofindhold!A$2:B$24,2,FALSE),0)</f>
        <v>137378.10748818054</v>
      </c>
      <c r="W260" s="192">
        <f>J260*IFERROR(VLOOKUP(A260,[1]Tørstofindhold!A$2:B$24,2,FALSE),0)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-711176.0717109855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hidden="1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210918.57690717495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19487.187141916074</v>
      </c>
      <c r="O262" s="195">
        <f t="shared" si="75"/>
        <v>19487.187141916074</v>
      </c>
      <c r="P262" s="205">
        <f t="shared" si="63"/>
        <v>191431.38976525888</v>
      </c>
      <c r="Q262" s="192">
        <f>IFERROR(VLOOKUP(A262,[1]Energiindhold!$A$2:$C$11,3,FALSE),IFERROR(VLOOKUP(A262,[1]Biogasudbytte!$A$2:$B$18,2,FALSE)*[1]Energiindhold!$C$10,0))*O262</f>
        <v>8.4440515220250811E-2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92">
        <f>IFERROR(VLOOKUP(A262,[1]Biogasudbytte!$A$2:$B$18,2,FALSE)*[1]Energiindhold!$C$10,0)*J262*IFERROR(VLOOKUP(A262,Biogasanlæg!$F$3:$G$8,2,FALSE),1)</f>
        <v>0.70507253324350583</v>
      </c>
      <c r="T262" s="193">
        <f t="shared" si="64"/>
        <v>8.4440515220250867E-2</v>
      </c>
      <c r="U262" s="191">
        <f>O262*IFERROR(VLOOKUP(A262,[1]Tørstofindhold!A$2:B$24,2,FALSE),0)</f>
        <v>8184.6185996047507</v>
      </c>
      <c r="V262" s="192">
        <f>IF(D262=År1,P262,SUM(O262,P262))*IFERROR(VLOOKUP(A262,[1]Tørstofindhold!A$2:B$24,2,FALSE),0)</f>
        <v>88585.802301013478</v>
      </c>
      <c r="W262" s="192">
        <f>J262*IFERROR(VLOOKUP(A262,[1]Tørstofindhold!A$2:B$24,2,FALSE),0)</f>
        <v>80401.183701408721</v>
      </c>
      <c r="X262" s="193">
        <f t="shared" si="65"/>
        <v>8184.618599604757</v>
      </c>
      <c r="Y262" s="171">
        <f t="shared" si="76"/>
        <v>0</v>
      </c>
      <c r="Z262" s="103">
        <f t="shared" si="77"/>
        <v>1</v>
      </c>
    </row>
    <row r="263" spans="1:26" hidden="1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150184.32869116802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7849.0843188425933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865945.92924660421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1225084.197013618</v>
      </c>
      <c r="O265" s="195">
        <f t="shared" si="75"/>
        <v>805319.32686989708</v>
      </c>
      <c r="P265" s="205">
        <f t="shared" si="63"/>
        <v>960.24397829585632</v>
      </c>
      <c r="Q265" s="192">
        <f>IFERROR(VLOOKUP(A265,[1]Energiindhold!$A$2:$C$11,3,FALSE),IFERROR(VLOOKUP(A265,[1]Biogasudbytte!$A$2:$B$18,2,FALSE)*[1]Energiindhold!$C$10,0))*O265</f>
        <v>2.7581059498236362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2.7613946510151424</v>
      </c>
      <c r="S265" s="192">
        <f>IFERROR(VLOOKUP(A265,[1]Biogasudbytte!$A$2:$B$18,2,FALSE)*[1]Energiindhold!$C$10,0)*J265*IFERROR(VLOOKUP(A265,Biogasanlæg!$F$3:$G$8,2,FALSE),1)</f>
        <v>3.288701191506347E-3</v>
      </c>
      <c r="T265" s="193">
        <f t="shared" si="64"/>
        <v>2.7581059498236362</v>
      </c>
      <c r="U265" s="191">
        <f>O265*IFERROR(VLOOKUP(A265,[1]Tørstofindhold!A$2:B$24,2,FALSE),0)</f>
        <v>249648.99132966809</v>
      </c>
      <c r="V265" s="192">
        <f>IF(D265=År1,P265,SUM(O265,P265))*IFERROR(VLOOKUP(A265,[1]Tørstofindhold!A$2:B$24,2,FALSE),0)</f>
        <v>249946.66696293981</v>
      </c>
      <c r="W265" s="192">
        <f>J265*IFERROR(VLOOKUP(A265,[1]Tørstofindhold!A$2:B$24,2,FALSE),0)</f>
        <v>297.67563327171547</v>
      </c>
      <c r="X265" s="193">
        <f t="shared" si="65"/>
        <v>249648.99132966809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336340.16174547671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-336340.16174547671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1086187.6880789888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825502.64294003148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172703.8424045592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87981.20273439819</v>
      </c>
      <c r="O267" s="195">
        <f t="shared" si="75"/>
        <v>87981.20273439819</v>
      </c>
      <c r="P267" s="205">
        <f t="shared" si="63"/>
        <v>825502.64294003148</v>
      </c>
      <c r="Q267" s="192">
        <f>IFERROR(VLOOKUP(A267,[1]Energiindhold!$A$2:$C$11,3,FALSE),IFERROR(VLOOKUP(A267,[1]Biogasudbytte!$A$2:$B$18,2,FALSE)*[1]Energiindhold!$C$10,0))*O267</f>
        <v>4.4535205012125025E-2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0.46239638784193965</v>
      </c>
      <c r="S267" s="192">
        <f>IFERROR(VLOOKUP(A267,[1]Biogasudbytte!$A$2:$B$18,2,FALSE)*[1]Energiindhold!$C$10,0)*J267*IFERROR(VLOOKUP(A267,Biogasanlæg!$F$3:$G$8,2,FALSE),1)</f>
        <v>0.4178611828298146</v>
      </c>
      <c r="T267" s="193">
        <f t="shared" si="64"/>
        <v>4.4535205012125045E-2</v>
      </c>
      <c r="U267" s="191">
        <f>O267*IFERROR(VLOOKUP(A267,[1]Tørstofindhold!A$2:B$24,2,FALSE),0)</f>
        <v>6686.5714078142619</v>
      </c>
      <c r="V267" s="192">
        <f>IF(D267=År1,P267,SUM(O267,P267))*IFERROR(VLOOKUP(A267,[1]Tørstofindhold!A$2:B$24,2,FALSE),0)</f>
        <v>69424.772271256646</v>
      </c>
      <c r="W267" s="192">
        <f>J267*IFERROR(VLOOKUP(A267,[1]Tørstofindhold!A$2:B$24,2,FALSE),0)</f>
        <v>62738.200863442391</v>
      </c>
      <c r="X267" s="193">
        <f t="shared" si="65"/>
        <v>6686.5714078142555</v>
      </c>
      <c r="Y267" s="171">
        <f t="shared" si="76"/>
        <v>0</v>
      </c>
      <c r="Z267" s="103">
        <f t="shared" si="77"/>
        <v>1</v>
      </c>
    </row>
    <row r="268" spans="1:26" hidden="1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135684.56083605965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-87564.031619411078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-464976.91494449746</v>
      </c>
      <c r="O269" s="195">
        <f t="shared" si="75"/>
        <v>0</v>
      </c>
      <c r="P269" s="205">
        <f t="shared" si="63"/>
        <v>15500.875420530891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2">
        <f>IFERROR(VLOOKUP(A269,[1]Biogasudbytte!$A$2:$B$18,2,FALSE)*[1]Energiindhold!$C$10,0)*J269*IFERROR(VLOOKUP(A269,Biogasanlæg!$F$3:$G$8,2,FALSE),1)</f>
        <v>5.56481427597059E-2</v>
      </c>
      <c r="T269" s="193">
        <f t="shared" si="64"/>
        <v>0</v>
      </c>
      <c r="U269" s="191">
        <f>O269*IFERROR(VLOOKUP(A269,[1]Tørstofindhold!A$2:B$24,2,FALSE),0)</f>
        <v>0</v>
      </c>
      <c r="V269" s="192">
        <f>IF(D269=År1,P269,SUM(O269,P269))*IFERROR(VLOOKUP(A269,[1]Tørstofindhold!A$2:B$24,2,FALSE),0)</f>
        <v>4650.2626261592668</v>
      </c>
      <c r="W269" s="192">
        <f>J269*IFERROR(VLOOKUP(A269,[1]Tørstofindhold!A$2:B$24,2,FALSE),0)</f>
        <v>4650.2626261592668</v>
      </c>
      <c r="X269" s="193">
        <f t="shared" si="65"/>
        <v>0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261800.78357255683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-166413.24571892151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O271*IFERROR(VLOOKUP(A271,[1]Tørstofindhold!A$2:B$24,2,FALSE),0)</f>
        <v>7297.504150601043</v>
      </c>
      <c r="V271" s="192">
        <f>IF(D271=År1,P271,SUM(O271,P271))*IFERROR(VLOOKUP(A271,[1]Tørstofindhold!A$2:B$24,2,FALSE),0)</f>
        <v>7297.504150601043</v>
      </c>
      <c r="W271" s="192">
        <f>J271*IFERROR(VLOOKUP(A271,[1]Tørstofindhold!A$2:B$24,2,FALSE),0)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8766.6762558976552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-45646.037466140195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0</v>
      </c>
      <c r="Z272" s="103">
        <f t="shared" si="77"/>
        <v>1</v>
      </c>
    </row>
    <row r="273" spans="1:26" hidden="1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407823.31273083866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38470.033999756291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0.70784862559551565</v>
      </c>
      <c r="U274" s="191">
        <f>O274*IFERROR(VLOOKUP(A274,[1]Tørstofindhold!A$2:B$24,2,FALSE),0)</f>
        <v>0</v>
      </c>
      <c r="V274" s="192">
        <f>IF(D274=År1,P274,SUM(O274,P274))*IFERROR(VLOOKUP(A274,[1]Tørstofindhold!A$2:B$24,2,FALSE),0)</f>
        <v>15965.064109898862</v>
      </c>
      <c r="W274" s="192">
        <f>J274*IFERROR(VLOOKUP(A274,[1]Tørstofindhold!A$2:B$24,2,FALSE),0)</f>
        <v>0</v>
      </c>
      <c r="X274" s="193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O275*IFERROR(VLOOKUP(A275,[1]Tørstofindhold!A$2:B$24,2,FALSE),0)</f>
        <v>0</v>
      </c>
      <c r="V275" s="192">
        <f>IF(D275=År1,P275,SUM(O275,P275))*IFERROR(VLOOKUP(A275,[1]Tørstofindhold!A$2:B$24,2,FALSE),0)</f>
        <v>0</v>
      </c>
      <c r="W275" s="192">
        <f>J275*IFERROR(VLOOKUP(A275,[1]Tørstofindhold!A$2:B$24,2,FALSE),0)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O276*IFERROR(VLOOKUP(A276,[1]Tørstofindhold!A$2:B$24,2,FALSE),0)</f>
        <v>0</v>
      </c>
      <c r="V276" s="192">
        <f>IF(D276=År1,P276,SUM(O276,P276))*IFERROR(VLOOKUP(A276,[1]Tørstofindhold!A$2:B$24,2,FALSE),0)</f>
        <v>0</v>
      </c>
      <c r="W276" s="192">
        <f>J276*IFERROR(VLOOKUP(A276,[1]Tørstofindhold!A$2:B$24,2,FALSE),0)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407677.27631652972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407677.27631652972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68047.065818126255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63732.21710113556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2.2306275985397446</v>
      </c>
      <c r="U280" s="191">
        <f>O280*IFERROR(VLOOKUP(A280,[1]Tørstofindhold!A$2:B$24,2,FALSE),0)</f>
        <v>0</v>
      </c>
      <c r="V280" s="192">
        <f>IF(D280=År1,P280,SUM(O280,P280))*IFERROR(VLOOKUP(A280,[1]Tørstofindhold!A$2:B$24,2,FALSE),0)</f>
        <v>0</v>
      </c>
      <c r="W280" s="192">
        <f>J280*IFERROR(VLOOKUP(A280,[1]Tørstofindhold!A$2:B$24,2,FALSE),0)</f>
        <v>0</v>
      </c>
      <c r="X280" s="193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123895.05219603253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2174121.8686362868</v>
      </c>
      <c r="O281" s="195">
        <f t="shared" si="89"/>
        <v>1541397.3989281263</v>
      </c>
      <c r="P281" s="205">
        <f t="shared" si="63"/>
        <v>24610.929224370728</v>
      </c>
      <c r="Q281" s="192">
        <f>IFERROR(VLOOKUP(A281,[1]Energiindhold!$A$2:$C$11,3,FALSE),IFERROR(VLOOKUP(A281,[1]Biogasudbytte!$A$2:$B$18,2,FALSE)*[1]Energiindhold!$C$10,0))*O281</f>
        <v>4.1834141965868916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4.250209242939003</v>
      </c>
      <c r="S281" s="192">
        <f>IFERROR(VLOOKUP(A281,[1]Biogasudbytte!$A$2:$B$18,2,FALSE)*[1]Energiindhold!$C$10,0)*J281*IFERROR(VLOOKUP(A281,Biogasanlæg!$F$3:$G$8,2,FALSE),1)</f>
        <v>6.6795046352111129E-2</v>
      </c>
      <c r="T281" s="193">
        <f t="shared" si="64"/>
        <v>4.1834141965868916</v>
      </c>
      <c r="U281" s="191">
        <f>O281*IFERROR(VLOOKUP(A281,[1]Tørstofindhold!A$2:B$24,2,FALSE),0)</f>
        <v>308279.4797856253</v>
      </c>
      <c r="V281" s="192">
        <f>IF(D281=År1,P281,SUM(O281,P281))*IFERROR(VLOOKUP(A281,[1]Tørstofindhold!A$2:B$24,2,FALSE),0)</f>
        <v>313201.66563049942</v>
      </c>
      <c r="W281" s="192">
        <f>J281*IFERROR(VLOOKUP(A281,[1]Tørstofindhold!A$2:B$24,2,FALSE),0)</f>
        <v>4922.1858448741459</v>
      </c>
      <c r="X281" s="193">
        <f t="shared" si="65"/>
        <v>308279.4797856253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26273.975378565505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26273.975378565505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21342.928539613244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15537.409586870504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3501980.1471558851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2173858.224266367</v>
      </c>
      <c r="O284" s="195">
        <f t="shared" si="89"/>
        <v>2173858.224266367</v>
      </c>
      <c r="P284" s="205">
        <f t="shared" si="94"/>
        <v>1328121.9228895183</v>
      </c>
      <c r="Q284" s="192">
        <f>IFERROR(VLOOKUP(A284,[1]Energiindhold!$A$2:$C$11,3,FALSE),IFERROR(VLOOKUP(A284,[1]Biogasudbytte!$A$2:$B$18,2,FALSE)*[1]Energiindhold!$C$10,0))*O284</f>
        <v>1.0847769924911599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92">
        <f>IFERROR(VLOOKUP(A284,[1]Biogasudbytte!$A$2:$B$18,2,FALSE)*[1]Energiindhold!$C$10,0)*J284*IFERROR(VLOOKUP(A284,Biogasanlæg!$F$3:$G$8,2,FALSE),1)</f>
        <v>0.66274612074109862</v>
      </c>
      <c r="T284" s="193">
        <f t="shared" si="95"/>
        <v>1.0847769924911597</v>
      </c>
      <c r="U284" s="191">
        <f>O284*IFERROR(VLOOKUP(A284,[1]Tørstofindhold!A$2:B$24,2,FALSE),0)</f>
        <v>130431.49345598201</v>
      </c>
      <c r="V284" s="192">
        <f>IF(D284=År1,P284,SUM(O284,P284))*IFERROR(VLOOKUP(A284,[1]Tørstofindhold!A$2:B$24,2,FALSE),0)</f>
        <v>210118.80882935313</v>
      </c>
      <c r="W284" s="192">
        <f>J284*IFERROR(VLOOKUP(A284,[1]Tørstofindhold!A$2:B$24,2,FALSE),0)</f>
        <v>79687.315373371093</v>
      </c>
      <c r="X284" s="193">
        <f t="shared" si="96"/>
        <v>130431.49345598204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2509436.929964724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1330001.5728813037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1179435.3570834203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1330001.5728813037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0.57296467759726577</v>
      </c>
      <c r="S285" s="192">
        <f>IFERROR(VLOOKUP(A285,[1]Biogasudbytte!$A$2:$B$18,2,FALSE)*[1]Energiindhold!$C$10,0)*J285*IFERROR(VLOOKUP(A285,Biogasanlæg!$F$3:$G$8,2,FALSE),1)</f>
        <v>0.57296467759726577</v>
      </c>
      <c r="T285" s="193">
        <f t="shared" si="95"/>
        <v>0</v>
      </c>
      <c r="U285" s="191">
        <f>O285*IFERROR(VLOOKUP(A285,[1]Tørstofindhold!A$2:B$24,2,FALSE),0)</f>
        <v>0</v>
      </c>
      <c r="V285" s="192">
        <f>IF(D285=År1,P285,SUM(O285,P285))*IFERROR(VLOOKUP(A285,[1]Tørstofindhold!A$2:B$24,2,FALSE),0)</f>
        <v>66500.078644065186</v>
      </c>
      <c r="W285" s="192">
        <f>J285*IFERROR(VLOOKUP(A285,[1]Tørstofindhold!A$2:B$24,2,FALSE),0)</f>
        <v>66500.078644065186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233020.79470926209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122546.49715239737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O287*IFERROR(VLOOKUP(A287,[1]Tørstofindhold!A$2:B$24,2,FALSE),0)</f>
        <v>675</v>
      </c>
      <c r="V287" s="192">
        <f>IF(D287=År1,P287,SUM(O287,P287))*IFERROR(VLOOKUP(A287,[1]Tørstofindhold!A$2:B$24,2,FALSE),0)</f>
        <v>675</v>
      </c>
      <c r="W287" s="192">
        <f>J287*IFERROR(VLOOKUP(A287,[1]Tørstofindhold!A$2:B$24,2,FALSE),0)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585110.82295504375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8.4803440270882753</v>
      </c>
      <c r="U289" s="191">
        <f>O289*IFERROR(VLOOKUP(A289,[1]Tørstofindhold!A$2:B$24,2,FALSE),0)</f>
        <v>0</v>
      </c>
      <c r="V289" s="192">
        <f>IF(D289=År1,P289,SUM(O289,P289))*IFERROR(VLOOKUP(A289,[1]Tørstofindhold!A$2:B$24,2,FALSE),0)</f>
        <v>289386.06118651538</v>
      </c>
      <c r="W289" s="192">
        <f>J289*IFERROR(VLOOKUP(A289,[1]Tørstofindhold!A$2:B$24,2,FALSE),0)</f>
        <v>0</v>
      </c>
      <c r="X289" s="193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161179.02528703219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>
    <filterColumn colId="0">
      <filters>
        <filter val="Raps"/>
        <filter val="Rapskage"/>
        <filter val="Rapsolie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6" t="s">
        <v>23</v>
      </c>
      <c r="B2" s="367"/>
      <c r="C2" s="367"/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2" t="s">
        <v>7</v>
      </c>
      <c r="D3" s="363"/>
      <c r="E3" s="363"/>
      <c r="F3" s="363"/>
      <c r="G3" s="363"/>
      <c r="H3" s="363"/>
      <c r="I3" s="363"/>
      <c r="J3" s="363"/>
      <c r="K3" s="364"/>
      <c r="L3" s="362" t="s">
        <v>8</v>
      </c>
      <c r="M3" s="363"/>
      <c r="N3" s="363"/>
      <c r="O3" s="363"/>
      <c r="P3" s="363"/>
      <c r="Q3" s="363"/>
      <c r="R3" s="363"/>
      <c r="S3" s="363"/>
      <c r="T3" s="364"/>
      <c r="U3" s="71"/>
      <c r="W3" s="31" t="s">
        <v>282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285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286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287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2" t="s">
        <v>7</v>
      </c>
      <c r="D22" s="363"/>
      <c r="E22" s="364"/>
      <c r="F22" s="365" t="s">
        <v>8</v>
      </c>
      <c r="G22" s="363"/>
      <c r="H22" s="36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9" t="s">
        <v>24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0"/>
      <c r="R29" s="370"/>
      <c r="S29" s="370"/>
      <c r="T29" s="370"/>
      <c r="U29" s="371"/>
    </row>
    <row r="30" spans="1:21" x14ac:dyDescent="0.25">
      <c r="A30" s="56"/>
      <c r="B30" s="53"/>
      <c r="C30" s="372" t="s">
        <v>7</v>
      </c>
      <c r="D30" s="373"/>
      <c r="E30" s="373"/>
      <c r="F30" s="373"/>
      <c r="G30" s="373"/>
      <c r="H30" s="373"/>
      <c r="I30" s="373"/>
      <c r="J30" s="373"/>
      <c r="K30" s="374"/>
      <c r="L30" s="372" t="s">
        <v>8</v>
      </c>
      <c r="M30" s="373"/>
      <c r="N30" s="373"/>
      <c r="O30" s="373"/>
      <c r="P30" s="373"/>
      <c r="Q30" s="373"/>
      <c r="R30" s="373"/>
      <c r="S30" s="373"/>
      <c r="T30" s="374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2" t="s">
        <v>7</v>
      </c>
      <c r="D49" s="363"/>
      <c r="E49" s="364"/>
      <c r="F49" s="365" t="s">
        <v>8</v>
      </c>
      <c r="G49" s="363"/>
      <c r="H49" s="36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4456697.0576533619</v>
      </c>
      <c r="F5" s="242"/>
      <c r="G5" s="242">
        <v>15470.434908329586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2444653.9999999995</v>
      </c>
      <c r="Q5" s="242"/>
      <c r="R5" s="242">
        <v>11358</v>
      </c>
      <c r="S5" s="242">
        <v>29476235.766141955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8354441.8810100975</v>
      </c>
      <c r="AB5" s="242">
        <v>24400617.067250848</v>
      </c>
      <c r="AC5" s="242"/>
      <c r="AD5" s="242"/>
      <c r="AE5" s="242"/>
      <c r="AF5" s="242"/>
      <c r="AG5" s="242"/>
      <c r="AH5" s="242"/>
      <c r="AI5" s="242"/>
      <c r="AJ5" s="242">
        <v>72611686.206964582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1806588.5568306167</v>
      </c>
      <c r="F7" s="242"/>
      <c r="G7" s="242">
        <v>5425.756836419002</v>
      </c>
      <c r="H7" s="242"/>
      <c r="I7" s="242"/>
      <c r="J7" s="242">
        <v>142742</v>
      </c>
      <c r="K7" s="242">
        <v>85677.000000000029</v>
      </c>
      <c r="L7" s="242"/>
      <c r="M7" s="242">
        <v>75934</v>
      </c>
      <c r="N7" s="242">
        <v>78</v>
      </c>
      <c r="O7" s="242"/>
      <c r="P7" s="242">
        <v>725967.99999999977</v>
      </c>
      <c r="Q7" s="242"/>
      <c r="R7" s="242">
        <v>3786.0000000000009</v>
      </c>
      <c r="S7" s="242">
        <v>12682532.726209817</v>
      </c>
      <c r="T7" s="242"/>
      <c r="U7" s="242">
        <v>330026</v>
      </c>
      <c r="V7" s="242"/>
      <c r="W7" s="242"/>
      <c r="X7" s="242"/>
      <c r="Y7" s="242">
        <v>28644.999999999996</v>
      </c>
      <c r="Z7" s="242"/>
      <c r="AA7" s="242">
        <v>2785221.7345641684</v>
      </c>
      <c r="AB7" s="242">
        <v>10976808.596855612</v>
      </c>
      <c r="AC7" s="242"/>
      <c r="AD7" s="242"/>
      <c r="AE7" s="242"/>
      <c r="AF7" s="242"/>
      <c r="AG7" s="242"/>
      <c r="AH7" s="242"/>
      <c r="AI7" s="242"/>
      <c r="AJ7" s="242">
        <v>30013428.371296629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1893021.5008227448</v>
      </c>
      <c r="F8" s="242"/>
      <c r="G8" s="242">
        <v>5603.1780719105855</v>
      </c>
      <c r="H8" s="242"/>
      <c r="I8" s="242"/>
      <c r="J8" s="242">
        <v>142742</v>
      </c>
      <c r="K8" s="242">
        <v>85677</v>
      </c>
      <c r="L8" s="242"/>
      <c r="M8" s="242">
        <v>75934.000000000015</v>
      </c>
      <c r="N8" s="242">
        <v>78</v>
      </c>
      <c r="O8" s="242"/>
      <c r="P8" s="242">
        <v>723031.99999999988</v>
      </c>
      <c r="Q8" s="242"/>
      <c r="R8" s="242">
        <v>3786</v>
      </c>
      <c r="S8" s="242">
        <v>12440193.373265471</v>
      </c>
      <c r="T8" s="242"/>
      <c r="U8" s="242">
        <v>330026</v>
      </c>
      <c r="V8" s="242"/>
      <c r="W8" s="242"/>
      <c r="X8" s="242"/>
      <c r="Y8" s="242">
        <v>28644.999999999996</v>
      </c>
      <c r="Z8" s="242"/>
      <c r="AA8" s="242">
        <v>2900386.1464459291</v>
      </c>
      <c r="AB8" s="242">
        <v>10508939.137061903</v>
      </c>
      <c r="AC8" s="242"/>
      <c r="AD8" s="242"/>
      <c r="AE8" s="242"/>
      <c r="AF8" s="242"/>
      <c r="AG8" s="242"/>
      <c r="AH8" s="242"/>
      <c r="AI8" s="242"/>
      <c r="AJ8" s="242">
        <v>29507840.33566796</v>
      </c>
    </row>
    <row r="9" spans="1:36" x14ac:dyDescent="0.25">
      <c r="A9" s="78" t="s">
        <v>113</v>
      </c>
      <c r="B9" s="242"/>
      <c r="C9" s="242">
        <v>246211.3135783691</v>
      </c>
      <c r="D9" s="242"/>
      <c r="E9" s="242"/>
      <c r="F9" s="242"/>
      <c r="G9" s="242"/>
      <c r="H9" s="242"/>
      <c r="I9" s="242"/>
      <c r="J9" s="242"/>
      <c r="K9" s="242">
        <v>46715177.14991805</v>
      </c>
      <c r="L9" s="242"/>
      <c r="M9" s="242">
        <v>2951116.1613629516</v>
      </c>
      <c r="N9" s="242"/>
      <c r="O9" s="242">
        <v>18431652.502602909</v>
      </c>
      <c r="P9" s="242"/>
      <c r="Q9" s="242">
        <v>0</v>
      </c>
      <c r="R9" s="242">
        <v>22442845.152983833</v>
      </c>
      <c r="S9" s="242"/>
      <c r="T9" s="242">
        <v>5785965.8690916728</v>
      </c>
      <c r="U9" s="242">
        <v>21594783.96176945</v>
      </c>
      <c r="V9" s="242"/>
      <c r="W9" s="242"/>
      <c r="X9" s="242"/>
      <c r="Y9" s="242">
        <v>3211005.8812512299</v>
      </c>
      <c r="Z9" s="242">
        <v>150462.46940900333</v>
      </c>
      <c r="AA9" s="242"/>
      <c r="AB9" s="242"/>
      <c r="AC9" s="242"/>
      <c r="AD9" s="242"/>
      <c r="AE9" s="242"/>
      <c r="AF9" s="242">
        <v>817284.77701708628</v>
      </c>
      <c r="AG9" s="242"/>
      <c r="AH9" s="242"/>
      <c r="AI9" s="242"/>
      <c r="AJ9" s="242">
        <v>122346505.23898456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86898.110674718482</v>
      </c>
      <c r="D11" s="242"/>
      <c r="E11" s="242"/>
      <c r="F11" s="242"/>
      <c r="G11" s="242"/>
      <c r="H11" s="242"/>
      <c r="I11" s="242"/>
      <c r="J11" s="242"/>
      <c r="K11" s="242">
        <v>16487709.582324015</v>
      </c>
      <c r="L11" s="242"/>
      <c r="M11" s="242">
        <v>1041570.4098928064</v>
      </c>
      <c r="N11" s="242"/>
      <c r="O11" s="242">
        <v>6505289.1185657317</v>
      </c>
      <c r="P11" s="242"/>
      <c r="Q11" s="242">
        <v>0</v>
      </c>
      <c r="R11" s="242">
        <v>7921004.1716413517</v>
      </c>
      <c r="S11" s="242"/>
      <c r="T11" s="242">
        <v>2042105.6008558844</v>
      </c>
      <c r="U11" s="242">
        <v>7621688.4570950996</v>
      </c>
      <c r="V11" s="242"/>
      <c r="W11" s="242"/>
      <c r="X11" s="242"/>
      <c r="Y11" s="242">
        <v>1133296.1933827871</v>
      </c>
      <c r="Z11" s="242">
        <v>53104.400967883521</v>
      </c>
      <c r="AA11" s="242"/>
      <c r="AB11" s="242"/>
      <c r="AC11" s="242"/>
      <c r="AD11" s="242"/>
      <c r="AE11" s="242"/>
      <c r="AF11" s="242">
        <v>288453.45071191277</v>
      </c>
      <c r="AG11" s="242"/>
      <c r="AH11" s="242"/>
      <c r="AI11" s="242"/>
      <c r="AJ11" s="242">
        <v>43181119.49611219</v>
      </c>
    </row>
    <row r="12" spans="1:36" x14ac:dyDescent="0.25">
      <c r="A12" s="79">
        <v>2050</v>
      </c>
      <c r="B12" s="242"/>
      <c r="C12" s="242">
        <v>86898.110674718497</v>
      </c>
      <c r="D12" s="242"/>
      <c r="E12" s="242"/>
      <c r="F12" s="242"/>
      <c r="G12" s="242"/>
      <c r="H12" s="242"/>
      <c r="I12" s="242"/>
      <c r="J12" s="242"/>
      <c r="K12" s="242">
        <v>16487709.582324017</v>
      </c>
      <c r="L12" s="242"/>
      <c r="M12" s="242">
        <v>1041570.4098928064</v>
      </c>
      <c r="N12" s="242"/>
      <c r="O12" s="242">
        <v>6505289.1185657317</v>
      </c>
      <c r="P12" s="242"/>
      <c r="Q12" s="242">
        <v>0</v>
      </c>
      <c r="R12" s="242">
        <v>7921004.1716413526</v>
      </c>
      <c r="S12" s="242"/>
      <c r="T12" s="242">
        <v>2042105.6008558844</v>
      </c>
      <c r="U12" s="242">
        <v>7621688.4570951005</v>
      </c>
      <c r="V12" s="242"/>
      <c r="W12" s="242"/>
      <c r="X12" s="242"/>
      <c r="Y12" s="242">
        <v>1133296.1933827871</v>
      </c>
      <c r="Z12" s="242">
        <v>53104.400967883521</v>
      </c>
      <c r="AA12" s="242"/>
      <c r="AB12" s="242"/>
      <c r="AC12" s="242"/>
      <c r="AD12" s="242"/>
      <c r="AE12" s="242"/>
      <c r="AF12" s="242">
        <v>288453.45071191277</v>
      </c>
      <c r="AG12" s="242"/>
      <c r="AH12" s="242"/>
      <c r="AI12" s="242"/>
      <c r="AJ12" s="242">
        <v>43181119.49611219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4718411.2755084336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636963.68412800436</v>
      </c>
      <c r="AE17" s="242">
        <v>8445237.9421698824</v>
      </c>
      <c r="AF17" s="242"/>
      <c r="AG17" s="242">
        <v>561015.58304251544</v>
      </c>
      <c r="AH17" s="242"/>
      <c r="AI17" s="242"/>
      <c r="AJ17" s="242">
        <v>17309821.484848835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1462839.8903218857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216936.14364827855</v>
      </c>
      <c r="AE19" s="242">
        <v>2848752.9835421797</v>
      </c>
      <c r="AF19" s="242"/>
      <c r="AG19" s="242">
        <v>227903.51886082417</v>
      </c>
      <c r="AH19" s="242"/>
      <c r="AI19" s="242"/>
      <c r="AJ19" s="242">
        <v>5739163.5363731682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1361806.1726509859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210245.15308472581</v>
      </c>
      <c r="AE20" s="242">
        <v>2586246.4663030161</v>
      </c>
      <c r="AF20" s="242"/>
      <c r="AG20" s="242">
        <v>220225.00338656051</v>
      </c>
      <c r="AH20" s="242"/>
      <c r="AI20" s="242"/>
      <c r="AJ20" s="242">
        <v>5361253.7954252884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2224331.6575402012</v>
      </c>
      <c r="F25" s="242"/>
      <c r="G25" s="242">
        <v>11713.32928773526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11679863.595591977</v>
      </c>
      <c r="T25" s="242"/>
      <c r="U25" s="242"/>
      <c r="V25" s="242"/>
      <c r="W25" s="242"/>
      <c r="X25" s="242"/>
      <c r="Y25" s="242"/>
      <c r="Z25" s="242"/>
      <c r="AA25" s="242"/>
      <c r="AB25" s="242">
        <v>33795529.60051804</v>
      </c>
      <c r="AC25" s="242"/>
      <c r="AD25" s="242"/>
      <c r="AE25" s="242"/>
      <c r="AF25" s="242"/>
      <c r="AG25" s="242"/>
      <c r="AH25" s="242">
        <v>57572972.136355564</v>
      </c>
      <c r="AI25" s="242">
        <v>2551277.7532640621</v>
      </c>
      <c r="AJ25" s="242">
        <v>107835688.07255757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683922.81080016203</v>
      </c>
      <c r="F27" s="242"/>
      <c r="G27" s="242">
        <v>4108.0730332886733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2653319.3466675803</v>
      </c>
      <c r="T27" s="242"/>
      <c r="U27" s="242"/>
      <c r="V27" s="242"/>
      <c r="W27" s="242"/>
      <c r="X27" s="242"/>
      <c r="Y27" s="242"/>
      <c r="Z27" s="242"/>
      <c r="AA27" s="242"/>
      <c r="AB27" s="242">
        <v>9734151.0198530871</v>
      </c>
      <c r="AC27" s="242"/>
      <c r="AD27" s="242"/>
      <c r="AE27" s="242"/>
      <c r="AF27" s="242"/>
      <c r="AG27" s="242"/>
      <c r="AH27" s="242">
        <v>24685936.556263804</v>
      </c>
      <c r="AI27" s="242">
        <v>734735.18150728825</v>
      </c>
      <c r="AJ27" s="242">
        <v>38496172.988125212</v>
      </c>
    </row>
    <row r="28" spans="1:36" x14ac:dyDescent="0.25">
      <c r="A28" s="79">
        <v>2050</v>
      </c>
      <c r="B28" s="242"/>
      <c r="C28" s="242"/>
      <c r="D28" s="242"/>
      <c r="E28" s="242">
        <v>716643.85388289625</v>
      </c>
      <c r="F28" s="242"/>
      <c r="G28" s="242">
        <v>4242.406254446586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2602619.4030910656</v>
      </c>
      <c r="T28" s="242"/>
      <c r="U28" s="242"/>
      <c r="V28" s="242"/>
      <c r="W28" s="242"/>
      <c r="X28" s="242"/>
      <c r="Y28" s="242"/>
      <c r="Z28" s="242"/>
      <c r="AA28" s="242"/>
      <c r="AB28" s="242">
        <v>9319247.9139982909</v>
      </c>
      <c r="AC28" s="242"/>
      <c r="AD28" s="242"/>
      <c r="AE28" s="242"/>
      <c r="AF28" s="242"/>
      <c r="AG28" s="242"/>
      <c r="AH28" s="242">
        <v>24083543.844583277</v>
      </c>
      <c r="AI28" s="242">
        <v>708052.01776419138</v>
      </c>
      <c r="AJ28" s="242">
        <v>37434349.43957416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2078809.4493015073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2078809.4493015073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712198.49644007557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712198.49644007557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688203.13558300154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688203.13558300154</v>
      </c>
    </row>
    <row r="33" spans="1:36" x14ac:dyDescent="0.25">
      <c r="A33" s="78" t="s">
        <v>61</v>
      </c>
      <c r="B33" s="242">
        <v>182574.19618217932</v>
      </c>
      <c r="C33" s="242">
        <v>246211.3135783691</v>
      </c>
      <c r="D33" s="242">
        <v>1462906</v>
      </c>
      <c r="E33" s="242">
        <v>6681028.7151935641</v>
      </c>
      <c r="F33" s="242">
        <v>281468.55244752642</v>
      </c>
      <c r="G33" s="242">
        <v>27183.764196064847</v>
      </c>
      <c r="H33" s="242">
        <v>197788.71253069426</v>
      </c>
      <c r="I33" s="242">
        <v>1445379.0531089196</v>
      </c>
      <c r="J33" s="242">
        <v>428226</v>
      </c>
      <c r="K33" s="242">
        <v>46972208.14991805</v>
      </c>
      <c r="L33" s="242">
        <v>1513844.376677237</v>
      </c>
      <c r="M33" s="242">
        <v>7897329.4368713852</v>
      </c>
      <c r="N33" s="242">
        <v>2948427</v>
      </c>
      <c r="O33" s="242">
        <v>18431652.502602909</v>
      </c>
      <c r="P33" s="242">
        <v>2444653.9999999995</v>
      </c>
      <c r="Q33" s="242">
        <v>692260.49385742994</v>
      </c>
      <c r="R33" s="242">
        <v>24112585.434971962</v>
      </c>
      <c r="S33" s="242">
        <v>41156099.361733936</v>
      </c>
      <c r="T33" s="242">
        <v>5785965.8690916728</v>
      </c>
      <c r="U33" s="242">
        <v>22584861.96176945</v>
      </c>
      <c r="V33" s="242">
        <v>2647325.8446415998</v>
      </c>
      <c r="W33" s="242">
        <v>336392.95646566537</v>
      </c>
      <c r="X33" s="242">
        <v>2078809.4493015073</v>
      </c>
      <c r="Y33" s="242">
        <v>3296940.8812512299</v>
      </c>
      <c r="Z33" s="242">
        <v>150462.46940900333</v>
      </c>
      <c r="AA33" s="242">
        <v>8354441.8810100975</v>
      </c>
      <c r="AB33" s="242">
        <v>58196146.667768888</v>
      </c>
      <c r="AC33" s="242">
        <v>682979.63888483576</v>
      </c>
      <c r="AD33" s="242">
        <v>636963.68412800436</v>
      </c>
      <c r="AE33" s="242">
        <v>8445237.9421698824</v>
      </c>
      <c r="AF33" s="242">
        <v>817284.77701708628</v>
      </c>
      <c r="AG33" s="242">
        <v>665219.02377648233</v>
      </c>
      <c r="AH33" s="242">
        <v>57572972.136355564</v>
      </c>
      <c r="AI33" s="242">
        <v>2551277.7532640621</v>
      </c>
      <c r="AJ33" s="242">
        <v>331925110.0001753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8.85546875" bestFit="1" customWidth="1"/>
    <col min="8" max="8" width="14.5703125" bestFit="1" customWidth="1"/>
    <col min="9" max="10" width="11.28515625" bestFit="1" customWidth="1"/>
    <col min="11" max="11" width="9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7" t="s">
        <v>288</v>
      </c>
      <c r="B2" s="78">
        <v>1</v>
      </c>
    </row>
    <row r="4" spans="1:9" x14ac:dyDescent="0.25">
      <c r="A4" s="77" t="s">
        <v>315</v>
      </c>
      <c r="B4" s="77" t="s">
        <v>62</v>
      </c>
    </row>
    <row r="5" spans="1:9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159</v>
      </c>
      <c r="G5" s="171" t="s">
        <v>54</v>
      </c>
      <c r="H5" s="171" t="s">
        <v>160</v>
      </c>
      <c r="I5" s="171" t="s">
        <v>61</v>
      </c>
    </row>
    <row r="6" spans="1:9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1108490.5539925825</v>
      </c>
      <c r="F6" s="76">
        <v>142742</v>
      </c>
      <c r="G6" s="76">
        <v>420629.98984142789</v>
      </c>
      <c r="H6" s="76">
        <v>5421074.2654714445</v>
      </c>
      <c r="I6" s="76">
        <v>7949378.1351335607</v>
      </c>
    </row>
    <row r="7" spans="1:9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734735.18150728825</v>
      </c>
      <c r="F7" s="76">
        <v>142742</v>
      </c>
      <c r="G7" s="76">
        <v>437443.77822737186</v>
      </c>
      <c r="H7" s="76">
        <v>6505289.1185657317</v>
      </c>
      <c r="I7" s="76">
        <v>8031175.4649425261</v>
      </c>
    </row>
    <row r="8" spans="1:9" x14ac:dyDescent="0.25">
      <c r="A8" s="78">
        <v>2050</v>
      </c>
      <c r="B8" s="76">
        <v>0.18489040050189942</v>
      </c>
      <c r="C8" s="76">
        <v>241953.74133540038</v>
      </c>
      <c r="D8" s="76">
        <v>0</v>
      </c>
      <c r="E8" s="76">
        <v>708052.01776419138</v>
      </c>
      <c r="F8" s="76">
        <v>142742</v>
      </c>
      <c r="G8" s="76">
        <v>459349.41813660081</v>
      </c>
      <c r="H8" s="76">
        <v>6505289.1185657317</v>
      </c>
      <c r="I8" s="76">
        <v>8057386.4806923252</v>
      </c>
    </row>
    <row r="9" spans="1:9" x14ac:dyDescent="0.25">
      <c r="A9" s="78" t="s">
        <v>61</v>
      </c>
      <c r="B9" s="76">
        <v>370459.88762915425</v>
      </c>
      <c r="C9" s="76">
        <v>656568.72072578385</v>
      </c>
      <c r="D9" s="76">
        <v>282332.03034110228</v>
      </c>
      <c r="E9" s="76">
        <v>2551277.7532640621</v>
      </c>
      <c r="F9" s="76">
        <v>428226</v>
      </c>
      <c r="G9" s="76">
        <v>1317423.1862054006</v>
      </c>
      <c r="H9" s="76">
        <v>18431652.502602909</v>
      </c>
      <c r="I9" s="76">
        <v>24037940.080768414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8" width="9.85546875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3.85546875" style="171" bestFit="1" customWidth="1"/>
    <col min="24" max="24" width="10.140625" style="171" bestFit="1" customWidth="1"/>
    <col min="25" max="25" width="12.140625" style="171" bestFit="1" customWidth="1"/>
    <col min="26" max="26" width="16" style="171" bestFit="1" customWidth="1"/>
    <col min="27" max="28" width="9.85546875" style="171" bestFit="1" customWidth="1"/>
    <col min="29" max="29" width="9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119</v>
      </c>
      <c r="X5" s="171" t="s">
        <v>137</v>
      </c>
      <c r="Y5" s="171" t="s">
        <v>138</v>
      </c>
      <c r="Z5" s="171" t="s">
        <v>141</v>
      </c>
      <c r="AA5" s="171" t="s">
        <v>56</v>
      </c>
      <c r="AB5" s="171" t="s">
        <v>55</v>
      </c>
      <c r="AC5" s="171" t="s">
        <v>240</v>
      </c>
      <c r="AD5" s="171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827693.20492220437</v>
      </c>
      <c r="X6" s="98">
        <v>3272565.4875000007</v>
      </c>
      <c r="Y6" s="98">
        <v>1078.6499999999999</v>
      </c>
      <c r="Z6" s="98">
        <v>4368323.901678659</v>
      </c>
      <c r="AA6" s="98">
        <v>911574.64248506655</v>
      </c>
      <c r="AB6" s="98">
        <v>2005102.1714007764</v>
      </c>
      <c r="AC6" s="98">
        <v>98826.033045954537</v>
      </c>
      <c r="AD6" s="98">
        <v>38726531.363933533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211772.75782853554</v>
      </c>
      <c r="D7" s="98">
        <v>2905408.1454691943</v>
      </c>
      <c r="E7" s="98">
        <v>1122665.7460304548</v>
      </c>
      <c r="F7" s="98">
        <v>170392.63720029866</v>
      </c>
      <c r="G7" s="98">
        <v>1570157.2016349281</v>
      </c>
      <c r="H7" s="98">
        <v>2080969.6515073958</v>
      </c>
      <c r="I7" s="98">
        <v>74190.483462749107</v>
      </c>
      <c r="J7" s="98">
        <v>2134206.5118205468</v>
      </c>
      <c r="K7" s="98">
        <v>1103365.8104808955</v>
      </c>
      <c r="L7" s="98">
        <v>41339.678256422805</v>
      </c>
      <c r="M7" s="98">
        <v>420587.66554026748</v>
      </c>
      <c r="N7" s="98">
        <v>3138525.7949652532</v>
      </c>
      <c r="O7" s="98">
        <v>148232.6739623498</v>
      </c>
      <c r="P7" s="98">
        <v>24452.758415859222</v>
      </c>
      <c r="Q7" s="98">
        <v>6259911.1609263299</v>
      </c>
      <c r="R7" s="98">
        <v>1614896.5629563848</v>
      </c>
      <c r="S7" s="98">
        <v>256390.68053839679</v>
      </c>
      <c r="T7" s="98">
        <v>124476.10379382074</v>
      </c>
      <c r="U7" s="98">
        <v>1665817.7814738885</v>
      </c>
      <c r="V7" s="98">
        <v>14400</v>
      </c>
      <c r="W7" s="98">
        <v>783291.25515859458</v>
      </c>
      <c r="X7" s="98">
        <v>1351690.9879249944</v>
      </c>
      <c r="Y7" s="98">
        <v>1317.6838031303291</v>
      </c>
      <c r="Z7" s="98">
        <v>4558826.316875292</v>
      </c>
      <c r="AA7" s="98">
        <v>954977.96501922607</v>
      </c>
      <c r="AB7" s="98">
        <v>2101303.8465657956</v>
      </c>
      <c r="AC7" s="98">
        <v>67645.79750812499</v>
      </c>
      <c r="AD7" s="98">
        <v>35118507.049590446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201411.72229669051</v>
      </c>
      <c r="D8" s="98">
        <v>3043013.7759962841</v>
      </c>
      <c r="E8" s="98">
        <v>1176377.6469398488</v>
      </c>
      <c r="F8" s="98">
        <v>157216.83755586346</v>
      </c>
      <c r="G8" s="98">
        <v>1522723.6559768345</v>
      </c>
      <c r="H8" s="98">
        <v>1690263.2545151261</v>
      </c>
      <c r="I8" s="98">
        <v>73602.662086251483</v>
      </c>
      <c r="J8" s="98">
        <v>2041999.0273120813</v>
      </c>
      <c r="K8" s="98">
        <v>805319.32686989708</v>
      </c>
      <c r="L8" s="98">
        <v>2639.1240738517372</v>
      </c>
      <c r="M8" s="98">
        <v>218583.82382291782</v>
      </c>
      <c r="N8" s="98">
        <v>3026257.5402487507</v>
      </c>
      <c r="O8" s="98">
        <v>243411.82603765032</v>
      </c>
      <c r="P8" s="98">
        <v>15331.133745803432</v>
      </c>
      <c r="Q8" s="98">
        <v>6143631.6341778617</v>
      </c>
      <c r="R8" s="98">
        <v>1541397.3989281263</v>
      </c>
      <c r="S8" s="98">
        <v>248954.56944042741</v>
      </c>
      <c r="T8" s="98">
        <v>119558.82549268498</v>
      </c>
      <c r="U8" s="98">
        <v>1604100.4550699559</v>
      </c>
      <c r="V8" s="98">
        <v>18000</v>
      </c>
      <c r="W8" s="98">
        <v>712825.86568798381</v>
      </c>
      <c r="X8" s="98">
        <v>1325862.7147822422</v>
      </c>
      <c r="Y8" s="98">
        <v>1360.771817463999</v>
      </c>
      <c r="Z8" s="98">
        <v>4747326.4083181694</v>
      </c>
      <c r="AA8" s="98">
        <v>922616.4144434646</v>
      </c>
      <c r="AB8" s="98">
        <v>2030965.6070747143</v>
      </c>
      <c r="AC8" s="98">
        <v>55648.117079588003</v>
      </c>
      <c r="AD8" s="98">
        <v>33897857.375184573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625895.48988097277</v>
      </c>
      <c r="D9" s="98">
        <v>9178950.99370699</v>
      </c>
      <c r="E9" s="98">
        <v>3651261.4001131607</v>
      </c>
      <c r="F9" s="98">
        <v>465884.75478506123</v>
      </c>
      <c r="G9" s="98">
        <v>4595438.8932199776</v>
      </c>
      <c r="H9" s="98">
        <v>7889236.6163226888</v>
      </c>
      <c r="I9" s="98">
        <v>147793.14554900059</v>
      </c>
      <c r="J9" s="98">
        <v>6217079.2899987623</v>
      </c>
      <c r="K9" s="98">
        <v>3883355.4666622118</v>
      </c>
      <c r="L9" s="98">
        <v>95870.934950370865</v>
      </c>
      <c r="M9" s="98">
        <v>1905433.7356306775</v>
      </c>
      <c r="N9" s="98">
        <v>8701566.5765429437</v>
      </c>
      <c r="O9" s="98">
        <v>392524.60000000009</v>
      </c>
      <c r="P9" s="98">
        <v>47848.098501759217</v>
      </c>
      <c r="Q9" s="98">
        <v>17672542.795104191</v>
      </c>
      <c r="R9" s="98">
        <v>4812658.6033854261</v>
      </c>
      <c r="S9" s="98">
        <v>722355.61741434736</v>
      </c>
      <c r="T9" s="98">
        <v>349981.24085846095</v>
      </c>
      <c r="U9" s="98">
        <v>4652569.6677227505</v>
      </c>
      <c r="V9" s="98">
        <v>32476.5</v>
      </c>
      <c r="W9" s="98">
        <v>2323810.3257687828</v>
      </c>
      <c r="X9" s="98">
        <v>5950119.1902072374</v>
      </c>
      <c r="Y9" s="98">
        <v>3757.1056205943282</v>
      </c>
      <c r="Z9" s="98">
        <v>13674476.62687212</v>
      </c>
      <c r="AA9" s="98">
        <v>2789169.0219477573</v>
      </c>
      <c r="AB9" s="98">
        <v>6137371.6250412865</v>
      </c>
      <c r="AC9" s="98">
        <v>222119.94763366753</v>
      </c>
      <c r="AD9" s="98">
        <v>107742895.78870854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322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20.140307454493183</v>
      </c>
      <c r="C7" s="240">
        <v>0</v>
      </c>
      <c r="D7" s="240">
        <v>9.7215276245828761</v>
      </c>
      <c r="E7" s="240">
        <v>18.898503241211166</v>
      </c>
      <c r="F7" s="240">
        <v>0.14596282488120896</v>
      </c>
      <c r="G7" s="240">
        <v>3.1030541716431261</v>
      </c>
      <c r="H7" s="240">
        <v>7.9766231601288453</v>
      </c>
      <c r="I7" s="240">
        <v>45.280222691386172</v>
      </c>
      <c r="J7" s="240">
        <v>0</v>
      </c>
      <c r="K7" s="240">
        <v>105.26620116832657</v>
      </c>
    </row>
    <row r="8" spans="1:11" x14ac:dyDescent="0.25">
      <c r="A8" s="79">
        <v>2050</v>
      </c>
      <c r="B8" s="240">
        <v>20.231823778682948</v>
      </c>
      <c r="C8" s="240">
        <v>0</v>
      </c>
      <c r="D8" s="240">
        <v>8.0780032295121842</v>
      </c>
      <c r="E8" s="240">
        <v>16.833470821782004</v>
      </c>
      <c r="F8" s="240">
        <v>0.23461711386879117</v>
      </c>
      <c r="G8" s="240">
        <v>3.2056958564820932</v>
      </c>
      <c r="H8" s="240">
        <v>7.7078751185296177</v>
      </c>
      <c r="I8" s="240">
        <v>41.352452170508407</v>
      </c>
      <c r="J8" s="240">
        <v>0</v>
      </c>
      <c r="K8" s="240">
        <v>97.64393808936606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5.3039408145388656</v>
      </c>
      <c r="C11" s="240">
        <v>2.1694819870080004</v>
      </c>
      <c r="D11" s="240">
        <v>1.4201719861750004</v>
      </c>
      <c r="E11" s="240">
        <v>0.45076703432000004</v>
      </c>
      <c r="F11" s="240">
        <v>0</v>
      </c>
      <c r="G11" s="240">
        <v>15.042523814801294</v>
      </c>
      <c r="H11" s="240">
        <v>0</v>
      </c>
      <c r="I11" s="240">
        <v>0</v>
      </c>
      <c r="J11" s="240">
        <v>0</v>
      </c>
      <c r="K11" s="240">
        <v>24.386885636843161</v>
      </c>
    </row>
    <row r="12" spans="1:11" x14ac:dyDescent="0.25">
      <c r="A12" s="79">
        <v>2050</v>
      </c>
      <c r="B12" s="240">
        <v>5.3702940021039831</v>
      </c>
      <c r="C12" s="240">
        <v>2.1694819870080004</v>
      </c>
      <c r="D12" s="240">
        <v>1.4201719861750002</v>
      </c>
      <c r="E12" s="240">
        <v>0.45076703432000015</v>
      </c>
      <c r="F12" s="240">
        <v>0</v>
      </c>
      <c r="G12" s="240">
        <v>14.90455589524715</v>
      </c>
      <c r="H12" s="240">
        <v>0</v>
      </c>
      <c r="I12" s="240">
        <v>0</v>
      </c>
      <c r="J12" s="240">
        <v>0</v>
      </c>
      <c r="K12" s="240">
        <v>24.315270904854131</v>
      </c>
    </row>
    <row r="13" spans="1:11" x14ac:dyDescent="0.25">
      <c r="A13" s="78" t="s">
        <v>296</v>
      </c>
      <c r="B13" s="240">
        <v>57.916061757678435</v>
      </c>
      <c r="C13" s="240">
        <v>0</v>
      </c>
      <c r="D13" s="240">
        <v>17.79953085409506</v>
      </c>
      <c r="E13" s="240">
        <v>55.305564551550361</v>
      </c>
      <c r="F13" s="240">
        <v>0.38057993875000012</v>
      </c>
      <c r="G13" s="240">
        <v>6.3087500281252193</v>
      </c>
      <c r="H13" s="240">
        <v>19.635545406488042</v>
      </c>
      <c r="I13" s="240">
        <v>134.12176978623643</v>
      </c>
      <c r="J13" s="240">
        <v>0</v>
      </c>
      <c r="K13" s="240">
        <v>291.46780232292355</v>
      </c>
    </row>
    <row r="14" spans="1:11" x14ac:dyDescent="0.25">
      <c r="A14" s="78" t="s">
        <v>248</v>
      </c>
      <c r="B14" s="240">
        <v>18.157389520849851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35.039362668053442</v>
      </c>
      <c r="H14" s="240">
        <v>0</v>
      </c>
      <c r="I14" s="240">
        <v>0</v>
      </c>
      <c r="J14" s="240">
        <v>0</v>
      </c>
      <c r="K14" s="240">
        <v>65.318015211412302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1173470.7461407222</v>
      </c>
      <c r="C4" s="241">
        <v>128467.8</v>
      </c>
      <c r="D4" s="241">
        <v>1160553.4746754284</v>
      </c>
      <c r="E4" s="241">
        <v>1651174.8680226803</v>
      </c>
      <c r="F4" s="241">
        <v>24394.90109435247</v>
      </c>
      <c r="G4" s="241">
        <v>2494642.5597356395</v>
      </c>
      <c r="H4" s="241">
        <v>1498974.2460576054</v>
      </c>
      <c r="I4" s="241">
        <v>8131678.5957264286</v>
      </c>
    </row>
    <row r="5" spans="1:9" x14ac:dyDescent="0.25">
      <c r="A5" s="78">
        <v>2050</v>
      </c>
      <c r="B5" s="241">
        <v>1191829.5713620714</v>
      </c>
      <c r="C5" s="241">
        <v>128467.8</v>
      </c>
      <c r="D5" s="241">
        <v>975854.69819673605</v>
      </c>
      <c r="E5" s="241">
        <v>1472901.7980830062</v>
      </c>
      <c r="F5" s="241">
        <v>39211.773905647548</v>
      </c>
      <c r="G5" s="241">
        <v>2492925.6927165301</v>
      </c>
      <c r="H5" s="241">
        <v>1366366.1366558613</v>
      </c>
      <c r="I5" s="241">
        <v>7667557.4709198531</v>
      </c>
    </row>
    <row r="6" spans="1:9" x14ac:dyDescent="0.25">
      <c r="A6" s="78" t="s">
        <v>61</v>
      </c>
      <c r="B6" s="241">
        <v>3442605.2575027933</v>
      </c>
      <c r="C6" s="241">
        <v>385403.4</v>
      </c>
      <c r="D6" s="241">
        <v>2265134.5328721646</v>
      </c>
      <c r="E6" s="241">
        <v>4799494.6567609143</v>
      </c>
      <c r="F6" s="241">
        <v>63606.675000000017</v>
      </c>
      <c r="G6" s="241">
        <v>5691584.3682855032</v>
      </c>
      <c r="H6" s="241">
        <v>4441213.8611446423</v>
      </c>
      <c r="I6" s="241">
        <v>21089042.751566019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14694807.846815562</v>
      </c>
      <c r="C4" s="98">
        <v>-24610.813181900667</v>
      </c>
      <c r="D4" s="98">
        <v>6608780.2582464404</v>
      </c>
      <c r="E4" s="98">
        <v>9296833.4976137169</v>
      </c>
      <c r="F4" s="98">
        <v>-673285.95920501021</v>
      </c>
      <c r="G4" s="98">
        <v>-512909.13665768696</v>
      </c>
      <c r="H4" s="98">
        <v>0</v>
      </c>
      <c r="I4" s="98">
        <v>29389615.69363112</v>
      </c>
    </row>
    <row r="5" spans="1:9" x14ac:dyDescent="0.25">
      <c r="A5" s="78">
        <v>2050</v>
      </c>
      <c r="B5" s="98">
        <v>13700758.411495024</v>
      </c>
      <c r="C5" s="98">
        <v>-40179.115818099352</v>
      </c>
      <c r="D5" s="98">
        <v>6582277.0918141343</v>
      </c>
      <c r="E5" s="98">
        <v>9211339.4377100542</v>
      </c>
      <c r="F5" s="98">
        <v>-1552855.8846793412</v>
      </c>
      <c r="G5" s="98">
        <v>-499823.11753171525</v>
      </c>
      <c r="H5" s="98">
        <v>0</v>
      </c>
      <c r="I5" s="98">
        <v>27401516.822990056</v>
      </c>
    </row>
    <row r="6" spans="1:9" x14ac:dyDescent="0.25">
      <c r="A6" s="78" t="s">
        <v>61</v>
      </c>
      <c r="B6" s="98">
        <v>42913028.700686432</v>
      </c>
      <c r="C6" s="98">
        <v>-64948.366200000019</v>
      </c>
      <c r="D6" s="98">
        <v>18710319.25079729</v>
      </c>
      <c r="E6" s="98">
        <v>28233639.125057951</v>
      </c>
      <c r="F6" s="98">
        <v>-2788041.8438843517</v>
      </c>
      <c r="G6" s="98">
        <v>-1177939.465084462</v>
      </c>
      <c r="H6" s="98">
        <v>0</v>
      </c>
      <c r="I6" s="98">
        <v>85826057.40137285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12720361.913629329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6069868.2390794745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-470463.02636426751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11891278.656630801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6044724.7524874648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-458603.85583869618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1974445.9331862326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538912.0191669655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-42446.11029341945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1809479.7548642238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537552.33932666946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-41219.261693019056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25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25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25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25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2021-09-10T12:14:42Z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475345432758331</vt:r8>
  </property>
</Properties>
</file>