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D561A192-59B4-4D83-A878-8C55D59459E9}" xr6:coauthVersionLast="47" xr6:coauthVersionMax="47" xr10:uidLastSave="{00000000-0000-0000-0000-000000000000}"/>
  <bookViews>
    <workbookView xWindow="-96" yWindow="-96" windowWidth="23232" windowHeight="12552" tabRatio="945" activeTab="2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7" l="1"/>
  <c r="C33" i="17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176" i="66"/>
  <c r="O168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D51" i="20"/>
  <c r="P23" i="18" s="1"/>
  <c r="P32" i="18"/>
  <c r="A18" i="53"/>
  <c r="C310" i="38"/>
  <c r="G24" i="20"/>
  <c r="D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W275" i="66" l="1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F26" i="39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G26" i="39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145" i="66" l="1"/>
  <c r="W193" i="66"/>
  <c r="W241" i="66"/>
  <c r="W49" i="66"/>
  <c r="W289" i="66"/>
  <c r="W97" i="66"/>
  <c r="U4" i="66"/>
  <c r="U100" i="66"/>
  <c r="U244" i="66"/>
  <c r="U148" i="66"/>
  <c r="U52" i="66"/>
  <c r="U196" i="66"/>
  <c r="W4" i="66"/>
  <c r="W52" i="66"/>
  <c r="W100" i="66"/>
  <c r="W244" i="66"/>
  <c r="W148" i="66"/>
  <c r="W196" i="66"/>
  <c r="V244" i="66"/>
  <c r="V52" i="66"/>
  <c r="V100" i="66"/>
  <c r="V196" i="66"/>
  <c r="V148" i="66"/>
  <c r="V4" i="66"/>
  <c r="U264" i="66"/>
  <c r="U72" i="66"/>
  <c r="U24" i="66"/>
  <c r="U120" i="66"/>
  <c r="U168" i="66"/>
  <c r="U216" i="66"/>
  <c r="W216" i="66"/>
  <c r="W168" i="66"/>
  <c r="W264" i="66"/>
  <c r="W120" i="66"/>
  <c r="W72" i="66"/>
  <c r="W24" i="66"/>
  <c r="V72" i="66"/>
  <c r="V264" i="66"/>
  <c r="V216" i="66"/>
  <c r="V24" i="66"/>
  <c r="V120" i="66"/>
  <c r="V168" i="66"/>
  <c r="U278" i="66"/>
  <c r="U134" i="66"/>
  <c r="U38" i="66"/>
  <c r="U182" i="66"/>
  <c r="U86" i="66"/>
  <c r="U230" i="66"/>
  <c r="W86" i="66"/>
  <c r="W230" i="66"/>
  <c r="W182" i="66"/>
  <c r="W278" i="66"/>
  <c r="W38" i="66"/>
  <c r="W134" i="66"/>
  <c r="V86" i="66"/>
  <c r="V134" i="66"/>
  <c r="V230" i="66"/>
  <c r="V38" i="66"/>
  <c r="V182" i="66"/>
  <c r="V278" i="66"/>
  <c r="W111" i="66"/>
  <c r="W255" i="66"/>
  <c r="W63" i="66"/>
  <c r="W159" i="66"/>
  <c r="W207" i="66"/>
  <c r="W15" i="66"/>
  <c r="V159" i="66"/>
  <c r="V15" i="66"/>
  <c r="V111" i="66"/>
  <c r="U207" i="66"/>
  <c r="U159" i="66"/>
  <c r="U111" i="66"/>
  <c r="V255" i="66"/>
  <c r="V63" i="66"/>
  <c r="U255" i="66"/>
  <c r="U63" i="66"/>
  <c r="V207" i="66"/>
  <c r="U15" i="66"/>
  <c r="W88" i="66"/>
  <c r="W40" i="66"/>
  <c r="W280" i="66"/>
  <c r="W136" i="66"/>
  <c r="W184" i="66"/>
  <c r="W232" i="66"/>
  <c r="W274" i="66"/>
  <c r="W226" i="66"/>
  <c r="W82" i="66"/>
  <c r="W178" i="66"/>
  <c r="W34" i="66"/>
  <c r="W130" i="66"/>
  <c r="U87" i="66"/>
  <c r="U279" i="66"/>
  <c r="U135" i="66"/>
  <c r="U231" i="66"/>
  <c r="U39" i="66"/>
  <c r="U183" i="66"/>
  <c r="W87" i="66"/>
  <c r="W135" i="66"/>
  <c r="W279" i="66"/>
  <c r="W231" i="66"/>
  <c r="W39" i="66"/>
  <c r="W183" i="66"/>
  <c r="V183" i="66"/>
  <c r="V39" i="66"/>
  <c r="V231" i="66"/>
  <c r="V279" i="66"/>
  <c r="V135" i="66"/>
  <c r="V87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X207" i="66" l="1"/>
  <c r="X135" i="66"/>
  <c r="X279" i="66"/>
  <c r="X231" i="66"/>
  <c r="X111" i="66"/>
  <c r="X230" i="66"/>
  <c r="X100" i="66"/>
  <c r="X63" i="66"/>
  <c r="X120" i="66"/>
  <c r="X24" i="66"/>
  <c r="X216" i="66"/>
  <c r="X168" i="66"/>
  <c r="X264" i="66"/>
  <c r="X148" i="66"/>
  <c r="X38" i="66"/>
  <c r="X196" i="66"/>
  <c r="X87" i="66"/>
  <c r="X278" i="66"/>
  <c r="X4" i="66"/>
  <c r="X182" i="66"/>
  <c r="X39" i="66"/>
  <c r="X15" i="66"/>
  <c r="X134" i="66"/>
  <c r="X52" i="66"/>
  <c r="X183" i="66"/>
  <c r="X159" i="66"/>
  <c r="X86" i="66"/>
  <c r="X244" i="66"/>
  <c r="X255" i="66"/>
  <c r="X72" i="66"/>
  <c r="H179" i="35"/>
  <c r="H181" i="35"/>
  <c r="I181" i="35"/>
  <c r="I179" i="35"/>
  <c r="H178" i="35"/>
  <c r="H176" i="35"/>
  <c r="I176" i="35"/>
  <c r="I178" i="35"/>
  <c r="H175" i="35"/>
  <c r="H177" i="35"/>
  <c r="I177" i="35"/>
  <c r="I175" i="35"/>
  <c r="H172" i="35"/>
  <c r="H174" i="35"/>
  <c r="I172" i="35"/>
  <c r="I174" i="35"/>
  <c r="H171" i="35"/>
  <c r="H173" i="35"/>
  <c r="I171" i="35"/>
  <c r="I173" i="35"/>
  <c r="H180" i="35"/>
  <c r="H182" i="35"/>
  <c r="I182" i="35"/>
  <c r="I180" i="35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W79" i="66"/>
  <c r="P79" i="66"/>
  <c r="S79" i="66"/>
  <c r="S143" i="66"/>
  <c r="P143" i="66"/>
  <c r="W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W95" i="66"/>
  <c r="S95" i="66"/>
  <c r="J410" i="37"/>
  <c r="J411" i="37"/>
  <c r="J74" i="41"/>
  <c r="J408" i="37"/>
  <c r="J409" i="37"/>
  <c r="W223" i="66" l="1"/>
  <c r="S223" i="66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W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W47" i="66"/>
  <c r="P47" i="66"/>
  <c r="V47" i="66" s="1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V191" i="66" s="1"/>
  <c r="W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V31" i="66" s="1"/>
  <c r="W31" i="66"/>
  <c r="S31" i="66"/>
  <c r="P287" i="66"/>
  <c r="S287" i="66"/>
  <c r="W287" i="66"/>
  <c r="C48" i="63"/>
  <c r="H77" i="41"/>
  <c r="J103" i="41"/>
  <c r="O5" i="41" s="1"/>
  <c r="C21" i="63"/>
  <c r="J77" i="41"/>
  <c r="S271" i="66"/>
  <c r="P271" i="66"/>
  <c r="W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X191" i="66"/>
  <c r="I90" i="41"/>
  <c r="H84" i="41"/>
  <c r="J106" i="41"/>
  <c r="P239" i="66"/>
  <c r="S239" i="66"/>
  <c r="W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X31" i="66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X47" i="66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W175" i="66"/>
  <c r="R175" i="66"/>
  <c r="S175" i="66"/>
  <c r="P175" i="66"/>
  <c r="V175" i="66" s="1"/>
  <c r="E16" i="39" l="1"/>
  <c r="J249" i="66"/>
  <c r="J201" i="66"/>
  <c r="D16" i="39"/>
  <c r="B7" i="39"/>
  <c r="H456" i="37" s="1"/>
  <c r="H406" i="41"/>
  <c r="X175" i="66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W59" i="66"/>
  <c r="J439" i="37"/>
  <c r="C27" i="63" s="1"/>
  <c r="J123" i="66"/>
  <c r="H412" i="41"/>
  <c r="F32" i="66"/>
  <c r="N32" i="66" s="1"/>
  <c r="W251" i="66"/>
  <c r="S251" i="66"/>
  <c r="P251" i="66"/>
  <c r="I414" i="41"/>
  <c r="F91" i="66"/>
  <c r="Z277" i="66"/>
  <c r="Y277" i="66"/>
  <c r="Z133" i="66"/>
  <c r="S203" i="66"/>
  <c r="P203" i="66"/>
  <c r="W203" i="66"/>
  <c r="I405" i="41"/>
  <c r="D15" i="39" s="1"/>
  <c r="D42" i="39"/>
  <c r="E106" i="38" s="1"/>
  <c r="F92" i="66"/>
  <c r="Y133" i="66"/>
  <c r="I415" i="41"/>
  <c r="F90" i="66"/>
  <c r="N90" i="66" s="1"/>
  <c r="P57" i="66"/>
  <c r="W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W155" i="66"/>
  <c r="R155" i="66"/>
  <c r="S155" i="66"/>
  <c r="P155" i="66"/>
  <c r="V155" i="66" s="1"/>
  <c r="H100" i="41"/>
  <c r="W237" i="66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W285" i="66"/>
  <c r="P285" i="66"/>
  <c r="P11" i="66"/>
  <c r="V11" i="66" s="1"/>
  <c r="W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W93" i="66"/>
  <c r="H415" i="41"/>
  <c r="F42" i="66"/>
  <c r="N42" i="66" s="1"/>
  <c r="S141" i="66"/>
  <c r="P141" i="66"/>
  <c r="W141" i="66"/>
  <c r="S107" i="66"/>
  <c r="P107" i="66"/>
  <c r="W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W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W201" i="66"/>
  <c r="S201" i="66"/>
  <c r="P201" i="66"/>
  <c r="I439" i="41"/>
  <c r="AB3" i="39"/>
  <c r="X155" i="66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W123" i="66"/>
  <c r="Z204" i="66"/>
  <c r="Z60" i="66"/>
  <c r="Y204" i="66"/>
  <c r="Y60" i="66"/>
  <c r="X11" i="66"/>
  <c r="Z108" i="66"/>
  <c r="Z252" i="66"/>
  <c r="Y108" i="66"/>
  <c r="Y252" i="66"/>
  <c r="J439" i="41"/>
  <c r="W219" i="66"/>
  <c r="S219" i="66"/>
  <c r="P219" i="66"/>
  <c r="Y156" i="66"/>
  <c r="Z12" i="66"/>
  <c r="Z156" i="66"/>
  <c r="Y12" i="66"/>
  <c r="F15" i="39"/>
  <c r="P75" i="66"/>
  <c r="S75" i="66"/>
  <c r="W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V171" i="66" s="1"/>
  <c r="W171" i="66"/>
  <c r="J140" i="66"/>
  <c r="N140" i="66" s="1"/>
  <c r="W105" i="66"/>
  <c r="S105" i="66"/>
  <c r="P105" i="66"/>
  <c r="E353" i="38"/>
  <c r="K9" i="66" s="1"/>
  <c r="G15" i="39"/>
  <c r="E350" i="38"/>
  <c r="K45" i="66" s="1"/>
  <c r="H453" i="41"/>
  <c r="Z80" i="66"/>
  <c r="Z224" i="66"/>
  <c r="Y224" i="66"/>
  <c r="Y80" i="66"/>
  <c r="P267" i="66"/>
  <c r="W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W236" i="66"/>
  <c r="P236" i="66"/>
  <c r="S236" i="66"/>
  <c r="X171" i="66"/>
  <c r="R189" i="66"/>
  <c r="S189" i="66"/>
  <c r="P189" i="66"/>
  <c r="V189" i="66" s="1"/>
  <c r="W189" i="66"/>
  <c r="P140" i="66"/>
  <c r="W140" i="66"/>
  <c r="S140" i="66"/>
  <c r="W92" i="66"/>
  <c r="P92" i="66"/>
  <c r="S92" i="66"/>
  <c r="O284" i="66"/>
  <c r="P284" i="66"/>
  <c r="W284" i="66"/>
  <c r="S284" i="66"/>
  <c r="P9" i="66"/>
  <c r="V9" i="66" s="1"/>
  <c r="W9" i="66"/>
  <c r="S9" i="66"/>
  <c r="R9" i="66"/>
  <c r="Z284" i="66"/>
  <c r="Y140" i="66"/>
  <c r="O140" i="66"/>
  <c r="Y284" i="66"/>
  <c r="Z140" i="66"/>
  <c r="S45" i="66"/>
  <c r="P45" i="66"/>
  <c r="V45" i="66" s="1"/>
  <c r="W45" i="66"/>
  <c r="R45" i="66"/>
  <c r="S27" i="66"/>
  <c r="P27" i="66"/>
  <c r="V27" i="66" s="1"/>
  <c r="R27" i="66"/>
  <c r="W27" i="66"/>
  <c r="C9" i="63"/>
  <c r="H439" i="41"/>
  <c r="S153" i="66" l="1"/>
  <c r="T153" i="66" s="1"/>
  <c r="W153" i="66"/>
  <c r="P153" i="66"/>
  <c r="V153" i="66" s="1"/>
  <c r="X27" i="66"/>
  <c r="T9" i="66"/>
  <c r="T27" i="66"/>
  <c r="X189" i="66"/>
  <c r="X45" i="66"/>
  <c r="T189" i="66"/>
  <c r="U92" i="66"/>
  <c r="V92" i="66"/>
  <c r="X92" i="66" s="1"/>
  <c r="Q92" i="66"/>
  <c r="R92" i="66" s="1"/>
  <c r="T92" i="66" s="1"/>
  <c r="T45" i="66"/>
  <c r="Q284" i="66"/>
  <c r="R284" i="66" s="1"/>
  <c r="T284" i="66" s="1"/>
  <c r="V284" i="66"/>
  <c r="X284" i="66" s="1"/>
  <c r="U284" i="66"/>
  <c r="U140" i="66"/>
  <c r="Q140" i="66"/>
  <c r="R140" i="66" s="1"/>
  <c r="T140" i="66" s="1"/>
  <c r="V140" i="66"/>
  <c r="X140" i="66" s="1"/>
  <c r="X9" i="66"/>
  <c r="U236" i="66"/>
  <c r="V236" i="66"/>
  <c r="X236" i="66" s="1"/>
  <c r="Q236" i="66"/>
  <c r="R236" i="66" s="1"/>
  <c r="T236" i="66" s="1"/>
  <c r="X153" i="66" l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V188" i="66" s="1"/>
  <c r="R188" i="66"/>
  <c r="W188" i="66"/>
  <c r="N188" i="66"/>
  <c r="S44" i="66"/>
  <c r="P44" i="66"/>
  <c r="V44" i="66" s="1"/>
  <c r="R44" i="66"/>
  <c r="W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X188" i="66"/>
  <c r="O44" i="66"/>
  <c r="Y44" i="66"/>
  <c r="Z188" i="66"/>
  <c r="Y188" i="66"/>
  <c r="Z44" i="66"/>
  <c r="X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U188" i="66"/>
  <c r="Q44" i="66"/>
  <c r="U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G16" i="18" s="1" a="1"/>
  <c r="G16" i="18" s="1"/>
  <c r="I19" i="20"/>
  <c r="R19" i="20"/>
  <c r="F18" i="20"/>
  <c r="O18" i="20"/>
  <c r="H48" i="35" s="1" a="1"/>
  <c r="H48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O20" i="20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I288" i="18" l="1"/>
  <c r="G58" i="18" a="1"/>
  <c r="G58" i="18" s="1"/>
  <c r="I277" i="18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58" i="35" a="1"/>
  <c r="H58" i="35" s="1"/>
  <c r="G24" i="18" a="1"/>
  <c r="G24" i="18" s="1"/>
  <c r="H24" i="18" s="1"/>
  <c r="H274" i="18"/>
  <c r="J274" i="18" s="1"/>
  <c r="I271" i="18"/>
  <c r="G60" i="18" a="1"/>
  <c r="G60" i="18" s="1"/>
  <c r="H56" i="35" a="1"/>
  <c r="H56" i="35" s="1"/>
  <c r="I328" i="18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18" i="18"/>
  <c r="J1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8" i="18"/>
  <c r="J328" i="18"/>
  <c r="F323" i="18"/>
  <c r="H58" i="18"/>
  <c r="I58" i="18"/>
  <c r="J335" i="18"/>
  <c r="F335" i="18"/>
  <c r="F280" i="18"/>
  <c r="F66" i="18"/>
  <c r="F279" i="18"/>
  <c r="J277" i="18"/>
  <c r="F277" i="18"/>
  <c r="F288" i="18"/>
  <c r="J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H27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H60" i="18"/>
  <c r="I325" i="18"/>
  <c r="H325" i="18"/>
  <c r="I330" i="18"/>
  <c r="H330" i="18"/>
  <c r="H291" i="18"/>
  <c r="I291" i="18"/>
  <c r="J271" i="18"/>
  <c r="F27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4" i="18" l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24" i="18"/>
  <c r="J24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H38" i="18" l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J38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5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J7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58"/>
  <c r="H31" i="37"/>
  <c r="H19" i="58"/>
  <c r="H19" i="37"/>
  <c r="H162" i="58"/>
  <c r="H162" i="37"/>
  <c r="I66" i="58"/>
  <c r="I54" i="58"/>
  <c r="I42" i="37"/>
  <c r="H69" i="58"/>
  <c r="H45" i="58"/>
  <c r="H45" i="37"/>
  <c r="H33" i="37"/>
  <c r="H21" i="37"/>
  <c r="J71" i="58"/>
  <c r="J71" i="37"/>
  <c r="J66" i="58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H7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25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J34" i="37"/>
  <c r="I70" i="37"/>
  <c r="I70" i="58"/>
  <c r="I46" i="58"/>
  <c r="I22" i="58"/>
  <c r="H64" i="37"/>
  <c r="H40" i="37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4" i="58"/>
  <c r="J21" i="37"/>
  <c r="J21" i="58"/>
  <c r="J18" i="58"/>
  <c r="J18" i="37"/>
  <c r="J15" i="37"/>
  <c r="J15" i="58"/>
  <c r="J38" i="37" l="1"/>
  <c r="J54" i="37"/>
  <c r="J23" i="37"/>
  <c r="I45" i="37"/>
  <c r="J22" i="37"/>
  <c r="I17" i="37"/>
  <c r="I31" i="58"/>
  <c r="I22" i="37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G14" i="39"/>
  <c r="O153" i="66"/>
  <c r="U153" i="66" s="1"/>
  <c r="G16" i="39"/>
  <c r="G13" i="39"/>
  <c r="O189" i="66"/>
  <c r="Q189" i="66" s="1"/>
  <c r="O155" i="66"/>
  <c r="U155" i="66" s="1"/>
  <c r="G12" i="39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H33" i="41" s="1"/>
  <c r="J73" i="58"/>
  <c r="J73" i="41" s="1"/>
  <c r="H72" i="37"/>
  <c r="I49" i="41"/>
  <c r="H446" i="41"/>
  <c r="H21" i="41"/>
  <c r="H28" i="58"/>
  <c r="H28" i="41" s="1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I22" i="4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N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O201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6" i="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N93" i="66" l="1"/>
  <c r="H7" i="6"/>
  <c r="M65" i="66"/>
  <c r="M209" i="66"/>
  <c r="M169" i="66"/>
  <c r="M25" i="66"/>
  <c r="G70" i="66"/>
  <c r="Q153" i="66"/>
  <c r="I424" i="41"/>
  <c r="J55" i="41"/>
  <c r="O203" i="66"/>
  <c r="O237" i="66"/>
  <c r="V237" i="66" s="1"/>
  <c r="X237" i="66" s="1"/>
  <c r="G73" i="66"/>
  <c r="I418" i="58"/>
  <c r="G217" i="66"/>
  <c r="J419" i="41"/>
  <c r="U189" i="66"/>
  <c r="Q155" i="66"/>
  <c r="U171" i="66"/>
  <c r="Q171" i="66"/>
  <c r="Q27" i="66"/>
  <c r="U27" i="66"/>
  <c r="Q11" i="66"/>
  <c r="U11" i="66"/>
  <c r="U9" i="66"/>
  <c r="Q9" i="66"/>
  <c r="Q45" i="66"/>
  <c r="U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V201" i="66"/>
  <c r="X201" i="66" s="1"/>
  <c r="U201" i="66"/>
  <c r="Q201" i="66"/>
  <c r="R201" i="66" s="1"/>
  <c r="T201" i="66" s="1"/>
  <c r="N143" i="66"/>
  <c r="G28" i="39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G27" i="39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F27" i="39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U203" i="66"/>
  <c r="V203" i="66"/>
  <c r="X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F28" i="39"/>
  <c r="I157" i="41"/>
  <c r="J162" i="41"/>
  <c r="I50" i="41"/>
  <c r="I162" i="41"/>
  <c r="Y268" i="66"/>
  <c r="Y124" i="66"/>
  <c r="Z268" i="66"/>
  <c r="Z124" i="66"/>
  <c r="O271" i="66" l="1"/>
  <c r="V271" i="66" s="1"/>
  <c r="X271" i="66" s="1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N79" i="66" s="1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N95" i="66" s="1"/>
  <c r="M77" i="66"/>
  <c r="M221" i="66"/>
  <c r="M76" i="66"/>
  <c r="N76" i="66" s="1"/>
  <c r="M220" i="66"/>
  <c r="N220" i="66" s="1"/>
  <c r="M233" i="66"/>
  <c r="M89" i="66"/>
  <c r="U191" i="66"/>
  <c r="Q237" i="66"/>
  <c r="R237" i="66" s="1"/>
  <c r="T237" i="66" s="1"/>
  <c r="U237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V59" i="66"/>
  <c r="X59" i="66" s="1"/>
  <c r="U59" i="66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V93" i="66"/>
  <c r="X93" i="66" s="1"/>
  <c r="U93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U57" i="66"/>
  <c r="Q57" i="66"/>
  <c r="R57" i="66" s="1"/>
  <c r="T57" i="66" s="1"/>
  <c r="V57" i="66"/>
  <c r="X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V267" i="66"/>
  <c r="X267" i="66" s="1"/>
  <c r="U267" i="66"/>
  <c r="U219" i="66"/>
  <c r="Q219" i="66"/>
  <c r="R219" i="66" s="1"/>
  <c r="T219" i="66" s="1"/>
  <c r="V219" i="66"/>
  <c r="X219" i="66" s="1"/>
  <c r="F208" i="66"/>
  <c r="D57" i="57"/>
  <c r="U75" i="66"/>
  <c r="V75" i="66"/>
  <c r="X75" i="66" s="1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V249" i="66"/>
  <c r="X249" i="66" s="1"/>
  <c r="U249" i="66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U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U175" i="66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Y95" i="66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U31" i="66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71" i="66" l="1"/>
  <c r="R271" i="66" s="1"/>
  <c r="T271" i="66" s="1"/>
  <c r="I6" i="6"/>
  <c r="M7" i="41"/>
  <c r="U271" i="66"/>
  <c r="O239" i="66"/>
  <c r="U287" i="66"/>
  <c r="V287" i="66"/>
  <c r="X287" i="66" s="1"/>
  <c r="O95" i="66"/>
  <c r="Z95" i="66"/>
  <c r="Y239" i="66"/>
  <c r="Z239" i="66"/>
  <c r="N196" i="66"/>
  <c r="Y196" i="66" s="1"/>
  <c r="I7" i="6"/>
  <c r="H5" i="6"/>
  <c r="J5" i="6"/>
  <c r="N52" i="66"/>
  <c r="Y223" i="66"/>
  <c r="O79" i="66"/>
  <c r="V79" i="66" s="1"/>
  <c r="X79" i="66" s="1"/>
  <c r="Y79" i="66"/>
  <c r="N72" i="66"/>
  <c r="Z223" i="66"/>
  <c r="Z79" i="66"/>
  <c r="O223" i="66"/>
  <c r="Q223" i="66" s="1"/>
  <c r="R223" i="66" s="1"/>
  <c r="T223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F23" i="39"/>
  <c r="G17" i="39"/>
  <c r="N7" i="41"/>
  <c r="E50" i="39"/>
  <c r="E131" i="38" s="1"/>
  <c r="J442" i="37" s="1"/>
  <c r="N106" i="66"/>
  <c r="Y250" i="66" s="1"/>
  <c r="C50" i="39"/>
  <c r="E97" i="38" s="1"/>
  <c r="J29" i="66" s="1"/>
  <c r="G22" i="39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V143" i="66"/>
  <c r="X143" i="66" s="1"/>
  <c r="Q143" i="66"/>
  <c r="R143" i="66" s="1"/>
  <c r="T143" i="66" s="1"/>
  <c r="U143" i="66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F22" i="39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V127" i="66"/>
  <c r="X127" i="66" s="1"/>
  <c r="U127" i="66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52" i="66"/>
  <c r="Z52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U107" i="66"/>
  <c r="V107" i="66"/>
  <c r="X107" i="66" s="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G21" i="39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G24" i="39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G23" i="39"/>
  <c r="Z273" i="66"/>
  <c r="Y273" i="66"/>
  <c r="Y129" i="66"/>
  <c r="Z129" i="66"/>
  <c r="F24" i="39"/>
  <c r="E399" i="38"/>
  <c r="F17" i="39"/>
  <c r="I135" i="41"/>
  <c r="L47" i="39"/>
  <c r="E162" i="38" s="1"/>
  <c r="M47" i="39"/>
  <c r="E179" i="38" s="1"/>
  <c r="F87" i="66"/>
  <c r="N87" i="66" s="1"/>
  <c r="I471" i="41"/>
  <c r="F21" i="39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V285" i="66"/>
  <c r="X285" i="66" s="1"/>
  <c r="U285" i="66"/>
  <c r="Q95" i="66"/>
  <c r="R95" i="66" s="1"/>
  <c r="T95" i="66" s="1"/>
  <c r="U95" i="66"/>
  <c r="V95" i="66"/>
  <c r="X95" i="66" s="1"/>
  <c r="J471" i="41"/>
  <c r="F135" i="66"/>
  <c r="N135" i="66" s="1"/>
  <c r="Q251" i="66"/>
  <c r="R251" i="66" s="1"/>
  <c r="T251" i="66" s="1"/>
  <c r="V251" i="66"/>
  <c r="X251" i="66" s="1"/>
  <c r="U251" i="66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V123" i="66"/>
  <c r="X123" i="66" s="1"/>
  <c r="U123" i="66"/>
  <c r="G20" i="39"/>
  <c r="E9" i="53"/>
  <c r="F9" i="53" s="1"/>
  <c r="F184" i="66"/>
  <c r="U239" i="66"/>
  <c r="Q239" i="66"/>
  <c r="R239" i="66" s="1"/>
  <c r="T239" i="66" s="1"/>
  <c r="V239" i="66"/>
  <c r="X239" i="66" s="1"/>
  <c r="I442" i="58"/>
  <c r="C32" i="63"/>
  <c r="Y66" i="66"/>
  <c r="Z66" i="66"/>
  <c r="Z210" i="66"/>
  <c r="Y210" i="66"/>
  <c r="Q105" i="66"/>
  <c r="R105" i="66" s="1"/>
  <c r="T105" i="66" s="1"/>
  <c r="U105" i="66"/>
  <c r="V105" i="66"/>
  <c r="X105" i="66" s="1"/>
  <c r="E27" i="53"/>
  <c r="F27" i="53" s="1"/>
  <c r="H33" i="53" s="1"/>
  <c r="J472" i="41"/>
  <c r="F136" i="66"/>
  <c r="V141" i="66"/>
  <c r="X141" i="66" s="1"/>
  <c r="Q141" i="66"/>
  <c r="R141" i="66" s="1"/>
  <c r="T141" i="66" s="1"/>
  <c r="U141" i="66"/>
  <c r="J139" i="41"/>
  <c r="O8" i="41" s="1"/>
  <c r="H17" i="53"/>
  <c r="G17" i="53" s="1"/>
  <c r="G23" i="53"/>
  <c r="F20" i="39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196" i="66" l="1"/>
  <c r="U79" i="66"/>
  <c r="Q79" i="66"/>
  <c r="R79" i="66" s="1"/>
  <c r="T79" i="66" s="1"/>
  <c r="I5" i="6"/>
  <c r="E322" i="38"/>
  <c r="M226" i="66" s="1"/>
  <c r="M9" i="41"/>
  <c r="U223" i="66"/>
  <c r="V223" i="66"/>
  <c r="X223" i="66" s="1"/>
  <c r="J125" i="66"/>
  <c r="N125" i="66" s="1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N121" i="66" s="1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S67" i="66" s="1"/>
  <c r="J112" i="66"/>
  <c r="W112" i="66" s="1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W29" i="66"/>
  <c r="R29" i="66"/>
  <c r="P29" i="66"/>
  <c r="V29" i="66" s="1"/>
  <c r="S29" i="66"/>
  <c r="J25" i="66"/>
  <c r="H434" i="37"/>
  <c r="N152" i="66"/>
  <c r="R152" i="66"/>
  <c r="S152" i="66"/>
  <c r="W152" i="66"/>
  <c r="P152" i="66"/>
  <c r="V152" i="66" s="1"/>
  <c r="P16" i="66"/>
  <c r="V16" i="66" s="1"/>
  <c r="R16" i="66"/>
  <c r="W16" i="66"/>
  <c r="S16" i="66"/>
  <c r="F275" i="66"/>
  <c r="E414" i="38"/>
  <c r="J433" i="58"/>
  <c r="J259" i="66"/>
  <c r="D32" i="53"/>
  <c r="F32" i="53" s="1"/>
  <c r="H26" i="53" s="1"/>
  <c r="N221" i="66"/>
  <c r="W221" i="66"/>
  <c r="P221" i="66"/>
  <c r="S221" i="66"/>
  <c r="J64" i="66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W56" i="66"/>
  <c r="S56" i="66"/>
  <c r="J89" i="66"/>
  <c r="I443" i="37"/>
  <c r="N77" i="66"/>
  <c r="P77" i="66"/>
  <c r="S77" i="66"/>
  <c r="W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M8" i="41"/>
  <c r="J442" i="41"/>
  <c r="N217" i="66"/>
  <c r="P217" i="66"/>
  <c r="S217" i="66"/>
  <c r="W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W8" i="66"/>
  <c r="R8" i="66"/>
  <c r="S8" i="66"/>
  <c r="P8" i="66"/>
  <c r="V8" i="66" s="1"/>
  <c r="D20" i="53"/>
  <c r="F20" i="53" s="1"/>
  <c r="H14" i="53" s="1"/>
  <c r="I433" i="58"/>
  <c r="I433" i="41" s="1"/>
  <c r="J211" i="66"/>
  <c r="N200" i="66"/>
  <c r="S200" i="66"/>
  <c r="P200" i="66"/>
  <c r="W200" i="66"/>
  <c r="G15" i="53"/>
  <c r="P185" i="66"/>
  <c r="V185" i="66" s="1"/>
  <c r="S185" i="66"/>
  <c r="R185" i="66"/>
  <c r="W185" i="66"/>
  <c r="W169" i="66"/>
  <c r="R169" i="66"/>
  <c r="P169" i="66"/>
  <c r="V169" i="66" s="1"/>
  <c r="S169" i="66"/>
  <c r="S19" i="66"/>
  <c r="W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W256" i="66"/>
  <c r="S256" i="66"/>
  <c r="Z183" i="66"/>
  <c r="Y39" i="66"/>
  <c r="Y183" i="66"/>
  <c r="Z39" i="66"/>
  <c r="W208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W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W160" i="66"/>
  <c r="R160" i="66"/>
  <c r="S160" i="66"/>
  <c r="P160" i="66"/>
  <c r="V160" i="66" s="1"/>
  <c r="N208" i="66"/>
  <c r="W265" i="66"/>
  <c r="P265" i="66"/>
  <c r="S265" i="66"/>
  <c r="W233" i="66"/>
  <c r="S233" i="66"/>
  <c r="P233" i="66"/>
  <c r="P248" i="66"/>
  <c r="S248" i="66"/>
  <c r="W248" i="66"/>
  <c r="N281" i="66"/>
  <c r="O281" i="66" s="1"/>
  <c r="W281" i="66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H433" i="41" s="1"/>
  <c r="J163" i="66"/>
  <c r="G33" i="53"/>
  <c r="H27" i="53"/>
  <c r="G27" i="53" s="1"/>
  <c r="J434" i="41"/>
  <c r="S137" i="66"/>
  <c r="P137" i="66"/>
  <c r="W137" i="66"/>
  <c r="J474" i="41" l="1"/>
  <c r="G2" i="53"/>
  <c r="Z125" i="66"/>
  <c r="S125" i="66"/>
  <c r="P125" i="66"/>
  <c r="W125" i="66"/>
  <c r="R173" i="66"/>
  <c r="O269" i="66"/>
  <c r="Q269" i="66" s="1"/>
  <c r="R269" i="66" s="1"/>
  <c r="J443" i="41"/>
  <c r="H475" i="41"/>
  <c r="E410" i="38"/>
  <c r="L179" i="66" s="1"/>
  <c r="G14" i="53"/>
  <c r="E308" i="38" s="1"/>
  <c r="Y265" i="66"/>
  <c r="Z265" i="66"/>
  <c r="Y121" i="66"/>
  <c r="O121" i="66"/>
  <c r="Q121" i="66" s="1"/>
  <c r="R121" i="66" s="1"/>
  <c r="Z121" i="66"/>
  <c r="O265" i="66"/>
  <c r="Q265" i="66" s="1"/>
  <c r="R265" i="66" s="1"/>
  <c r="T265" i="66" s="1"/>
  <c r="E415" i="38"/>
  <c r="L276" i="66" s="1"/>
  <c r="P276" i="66" s="1"/>
  <c r="Y269" i="66"/>
  <c r="P269" i="66"/>
  <c r="S269" i="66"/>
  <c r="W269" i="66"/>
  <c r="Y125" i="66"/>
  <c r="O125" i="66"/>
  <c r="Q125" i="66" s="1"/>
  <c r="R125" i="66" s="1"/>
  <c r="T125" i="66" s="1"/>
  <c r="Z269" i="66"/>
  <c r="H435" i="41"/>
  <c r="P173" i="66"/>
  <c r="V173" i="66" s="1"/>
  <c r="S173" i="66"/>
  <c r="P121" i="66"/>
  <c r="E413" i="38"/>
  <c r="W173" i="66"/>
  <c r="S121" i="66"/>
  <c r="W121" i="66"/>
  <c r="C38" i="63"/>
  <c r="C29" i="63"/>
  <c r="W67" i="66"/>
  <c r="E321" i="38"/>
  <c r="M232" i="66" s="1"/>
  <c r="S112" i="66"/>
  <c r="P112" i="66"/>
  <c r="P41" i="66"/>
  <c r="V41" i="66" s="1"/>
  <c r="O173" i="66"/>
  <c r="U173" i="66" s="1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W41" i="66"/>
  <c r="O41" i="66"/>
  <c r="U41" i="66" s="1"/>
  <c r="Z185" i="66"/>
  <c r="O200" i="66"/>
  <c r="U200" i="66" s="1"/>
  <c r="I435" i="41"/>
  <c r="H434" i="41"/>
  <c r="Q185" i="66"/>
  <c r="U185" i="66"/>
  <c r="T16" i="66"/>
  <c r="O137" i="66"/>
  <c r="U137" i="66" s="1"/>
  <c r="T152" i="66"/>
  <c r="T169" i="66"/>
  <c r="Y137" i="66"/>
  <c r="G20" i="53"/>
  <c r="E320" i="38" s="1"/>
  <c r="M211" i="66" s="1"/>
  <c r="Z160" i="66"/>
  <c r="Y281" i="66"/>
  <c r="U160" i="66"/>
  <c r="Q160" i="66"/>
  <c r="E302" i="38"/>
  <c r="E284" i="38"/>
  <c r="E278" i="38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W73" i="66"/>
  <c r="P73" i="66"/>
  <c r="N73" i="66"/>
  <c r="O217" i="66" s="1"/>
  <c r="O221" i="66"/>
  <c r="L275" i="66"/>
  <c r="P275" i="66" s="1"/>
  <c r="X152" i="66"/>
  <c r="X29" i="66"/>
  <c r="E407" i="38"/>
  <c r="F84" i="66"/>
  <c r="I474" i="41"/>
  <c r="L97" i="66"/>
  <c r="O16" i="66"/>
  <c r="F131" i="66"/>
  <c r="E408" i="38"/>
  <c r="J475" i="41"/>
  <c r="X169" i="66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W259" i="66"/>
  <c r="S259" i="66"/>
  <c r="G8" i="53"/>
  <c r="E405" i="38"/>
  <c r="F36" i="66"/>
  <c r="H474" i="41"/>
  <c r="N89" i="66"/>
  <c r="O233" i="66" s="1"/>
  <c r="S89" i="66"/>
  <c r="W89" i="66"/>
  <c r="P89" i="66"/>
  <c r="E339" i="38"/>
  <c r="E345" i="38"/>
  <c r="M280" i="66" s="1"/>
  <c r="Z16" i="66"/>
  <c r="L274" i="66"/>
  <c r="E303" i="38"/>
  <c r="E309" i="38"/>
  <c r="O248" i="66"/>
  <c r="W115" i="66"/>
  <c r="S115" i="66"/>
  <c r="P193" i="66"/>
  <c r="V193" i="66" s="1"/>
  <c r="X193" i="66" s="1"/>
  <c r="R193" i="66"/>
  <c r="T193" i="66" s="1"/>
  <c r="N193" i="66"/>
  <c r="L82" i="66"/>
  <c r="W64" i="66"/>
  <c r="P64" i="66"/>
  <c r="S64" i="66"/>
  <c r="N64" i="66"/>
  <c r="O208" i="66" s="1"/>
  <c r="O152" i="66"/>
  <c r="L34" i="66"/>
  <c r="Y29" i="66"/>
  <c r="Y173" i="66"/>
  <c r="Z29" i="66"/>
  <c r="Z173" i="66"/>
  <c r="O29" i="66"/>
  <c r="K29" i="39"/>
  <c r="W163" i="66"/>
  <c r="S163" i="66"/>
  <c r="L241" i="66"/>
  <c r="Y160" i="66"/>
  <c r="H32" i="53"/>
  <c r="G32" i="53" s="1"/>
  <c r="G26" i="53"/>
  <c r="L178" i="66"/>
  <c r="M34" i="66"/>
  <c r="B19" i="8"/>
  <c r="S211" i="66"/>
  <c r="W211" i="66"/>
  <c r="L232" i="66"/>
  <c r="C10" i="63"/>
  <c r="H473" i="41"/>
  <c r="C2" i="63"/>
  <c r="P226" i="66"/>
  <c r="N226" i="66"/>
  <c r="Q281" i="66"/>
  <c r="R281" i="66" s="1"/>
  <c r="T281" i="66" s="1"/>
  <c r="U281" i="66"/>
  <c r="V281" i="66"/>
  <c r="X281" i="66" s="1"/>
  <c r="X160" i="66"/>
  <c r="M130" i="66"/>
  <c r="D19" i="8"/>
  <c r="L180" i="66"/>
  <c r="N180" i="66" s="1"/>
  <c r="X8" i="66"/>
  <c r="J29" i="39"/>
  <c r="J433" i="41"/>
  <c r="L289" i="66"/>
  <c r="P25" i="66"/>
  <c r="V25" i="66" s="1"/>
  <c r="W25" i="66"/>
  <c r="R25" i="66"/>
  <c r="S25" i="66"/>
  <c r="N25" i="66"/>
  <c r="E327" i="38"/>
  <c r="E333" i="38"/>
  <c r="P49" i="66"/>
  <c r="V49" i="66" s="1"/>
  <c r="X49" i="66" s="1"/>
  <c r="R49" i="66"/>
  <c r="T49" i="66" s="1"/>
  <c r="N49" i="66"/>
  <c r="E404" i="38"/>
  <c r="F35" i="66"/>
  <c r="L130" i="66"/>
  <c r="L29" i="39"/>
  <c r="E279" i="38"/>
  <c r="E285" i="38"/>
  <c r="Z137" i="66"/>
  <c r="X185" i="66"/>
  <c r="Z56" i="66"/>
  <c r="Z200" i="66"/>
  <c r="O56" i="66"/>
  <c r="Y56" i="66"/>
  <c r="Y200" i="66"/>
  <c r="X16" i="66"/>
  <c r="T269" i="66" l="1"/>
  <c r="U269" i="66"/>
  <c r="T173" i="66"/>
  <c r="U125" i="66"/>
  <c r="V125" i="66"/>
  <c r="X125" i="66" s="1"/>
  <c r="U265" i="66"/>
  <c r="V269" i="66"/>
  <c r="X269" i="66" s="1"/>
  <c r="E314" i="38"/>
  <c r="V265" i="66"/>
  <c r="X265" i="66" s="1"/>
  <c r="L228" i="66"/>
  <c r="P228" i="66" s="1"/>
  <c r="V121" i="66"/>
  <c r="X121" i="66" s="1"/>
  <c r="U121" i="66"/>
  <c r="X173" i="66"/>
  <c r="Q41" i="66"/>
  <c r="U256" i="66"/>
  <c r="Z256" i="66"/>
  <c r="Z112" i="66"/>
  <c r="T121" i="66"/>
  <c r="O112" i="66"/>
  <c r="Q112" i="66" s="1"/>
  <c r="R112" i="66" s="1"/>
  <c r="T112" i="66" s="1"/>
  <c r="V256" i="66"/>
  <c r="X256" i="66" s="1"/>
  <c r="Y112" i="66"/>
  <c r="Y256" i="66"/>
  <c r="Q173" i="66"/>
  <c r="X41" i="66"/>
  <c r="Q200" i="66"/>
  <c r="R200" i="66" s="1"/>
  <c r="T200" i="66" s="1"/>
  <c r="V200" i="66"/>
  <c r="X200" i="66" s="1"/>
  <c r="T41" i="66"/>
  <c r="V137" i="66"/>
  <c r="X137" i="66" s="1"/>
  <c r="Q137" i="66"/>
  <c r="R137" i="66" s="1"/>
  <c r="T137" i="66" s="1"/>
  <c r="N227" i="66"/>
  <c r="N275" i="66"/>
  <c r="N276" i="66"/>
  <c r="O193" i="66"/>
  <c r="U193" i="66" s="1"/>
  <c r="X25" i="66"/>
  <c r="Q233" i="66"/>
  <c r="R233" i="66" s="1"/>
  <c r="T233" i="66" s="1"/>
  <c r="U233" i="66"/>
  <c r="V233" i="66"/>
  <c r="X233" i="66" s="1"/>
  <c r="V217" i="66"/>
  <c r="X217" i="66" s="1"/>
  <c r="U217" i="66"/>
  <c r="Q217" i="66"/>
  <c r="R217" i="66" s="1"/>
  <c r="T217" i="66" s="1"/>
  <c r="Q208" i="66"/>
  <c r="R208" i="66" s="1"/>
  <c r="T208" i="66" s="1"/>
  <c r="V208" i="66"/>
  <c r="X208" i="66" s="1"/>
  <c r="U208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U152" i="66"/>
  <c r="L88" i="66"/>
  <c r="L280" i="66"/>
  <c r="L132" i="66"/>
  <c r="P132" i="66" s="1"/>
  <c r="U104" i="66"/>
  <c r="Q104" i="66"/>
  <c r="R104" i="66" s="1"/>
  <c r="T104" i="66" s="1"/>
  <c r="V104" i="66"/>
  <c r="X104" i="66" s="1"/>
  <c r="Q16" i="66"/>
  <c r="U16" i="66"/>
  <c r="L84" i="66"/>
  <c r="P84" i="66" s="1"/>
  <c r="M19" i="66"/>
  <c r="R34" i="66"/>
  <c r="T34" i="66" s="1"/>
  <c r="P34" i="66"/>
  <c r="V34" i="66" s="1"/>
  <c r="X34" i="66" s="1"/>
  <c r="N34" i="66"/>
  <c r="M40" i="66"/>
  <c r="B18" i="8"/>
  <c r="T25" i="66"/>
  <c r="Q29" i="66"/>
  <c r="U29" i="66"/>
  <c r="Y208" i="66"/>
  <c r="Z64" i="66"/>
  <c r="O64" i="66"/>
  <c r="Y64" i="66"/>
  <c r="Z208" i="66"/>
  <c r="Q8" i="66"/>
  <c r="U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V178" i="66" s="1"/>
  <c r="X178" i="66" s="1"/>
  <c r="N178" i="66"/>
  <c r="L36" i="66"/>
  <c r="Q77" i="66"/>
  <c r="R77" i="66" s="1"/>
  <c r="T77" i="66" s="1"/>
  <c r="U77" i="66"/>
  <c r="V77" i="66"/>
  <c r="X77" i="66" s="1"/>
  <c r="P97" i="66"/>
  <c r="N97" i="66"/>
  <c r="V56" i="66"/>
  <c r="X56" i="66" s="1"/>
  <c r="U56" i="66"/>
  <c r="Q56" i="66"/>
  <c r="R56" i="66" s="1"/>
  <c r="T56" i="66" s="1"/>
  <c r="N179" i="66"/>
  <c r="E326" i="38"/>
  <c r="E332" i="38"/>
  <c r="L83" i="66"/>
  <c r="P83" i="66" s="1"/>
  <c r="M67" i="66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N228" i="66"/>
  <c r="L67" i="66"/>
  <c r="L136" i="66"/>
  <c r="P289" i="66"/>
  <c r="N289" i="66"/>
  <c r="P274" i="66"/>
  <c r="N274" i="66"/>
  <c r="E296" i="38"/>
  <c r="M163" i="66" s="1"/>
  <c r="E290" i="38"/>
  <c r="U221" i="66"/>
  <c r="Q221" i="66"/>
  <c r="R221" i="66" s="1"/>
  <c r="T221" i="66" s="1"/>
  <c r="V221" i="66"/>
  <c r="X221" i="66" s="1"/>
  <c r="P82" i="66"/>
  <c r="N82" i="66"/>
  <c r="U248" i="66"/>
  <c r="Q248" i="66"/>
  <c r="R248" i="66" s="1"/>
  <c r="T248" i="66" s="1"/>
  <c r="V248" i="66"/>
  <c r="X248" i="66" s="1"/>
  <c r="L131" i="66"/>
  <c r="P131" i="66" s="1"/>
  <c r="Z217" i="66"/>
  <c r="Y217" i="66"/>
  <c r="O73" i="66"/>
  <c r="Z73" i="66"/>
  <c r="Y73" i="66"/>
  <c r="O274" i="66" l="1"/>
  <c r="Q274" i="66" s="1"/>
  <c r="R274" i="66" s="1"/>
  <c r="T274" i="66" s="1"/>
  <c r="L211" i="66"/>
  <c r="U112" i="66"/>
  <c r="V112" i="66"/>
  <c r="X112" i="66" s="1"/>
  <c r="O289" i="66"/>
  <c r="V289" i="66" s="1"/>
  <c r="X289" i="66" s="1"/>
  <c r="O178" i="66"/>
  <c r="U178" i="66" s="1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U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V64" i="66"/>
  <c r="X64" i="66" s="1"/>
  <c r="Q64" i="66"/>
  <c r="R64" i="66" s="1"/>
  <c r="T64" i="66" s="1"/>
  <c r="U64" i="66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U169" i="66"/>
  <c r="Q169" i="66"/>
  <c r="U89" i="66"/>
  <c r="V89" i="66"/>
  <c r="X89" i="66" s="1"/>
  <c r="Q89" i="66"/>
  <c r="R89" i="66" s="1"/>
  <c r="T89" i="66" s="1"/>
  <c r="Y274" i="66"/>
  <c r="Z130" i="66"/>
  <c r="Y130" i="66"/>
  <c r="Z274" i="66"/>
  <c r="O130" i="66"/>
  <c r="P211" i="66"/>
  <c r="N211" i="66"/>
  <c r="L259" i="66"/>
  <c r="N132" i="66"/>
  <c r="B17" i="8"/>
  <c r="O226" i="66"/>
  <c r="O179" i="66"/>
  <c r="V73" i="66"/>
  <c r="X73" i="66" s="1"/>
  <c r="Q73" i="66"/>
  <c r="R73" i="66" s="1"/>
  <c r="T73" i="66" s="1"/>
  <c r="U73" i="66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U49" i="66"/>
  <c r="Q49" i="66"/>
  <c r="N19" i="66"/>
  <c r="P19" i="66"/>
  <c r="V19" i="66" s="1"/>
  <c r="X19" i="66" s="1"/>
  <c r="R19" i="66"/>
  <c r="T19" i="66" s="1"/>
  <c r="U274" i="66" l="1"/>
  <c r="V274" i="66"/>
  <c r="X274" i="66" s="1"/>
  <c r="Q289" i="66"/>
  <c r="R289" i="66" s="1"/>
  <c r="T289" i="66" s="1"/>
  <c r="U289" i="66"/>
  <c r="O211" i="66"/>
  <c r="U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V97" i="66"/>
  <c r="X97" i="66" s="1"/>
  <c r="U97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V163" i="66" s="1"/>
  <c r="X163" i="66" s="1"/>
  <c r="N163" i="66"/>
  <c r="O163" i="66" s="1"/>
  <c r="V82" i="66"/>
  <c r="X82" i="66" s="1"/>
  <c r="Q82" i="66"/>
  <c r="R82" i="66" s="1"/>
  <c r="T82" i="66" s="1"/>
  <c r="U82" i="66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V241" i="66"/>
  <c r="X241" i="66" s="1"/>
  <c r="U241" i="66"/>
  <c r="Q241" i="66"/>
  <c r="R241" i="66" s="1"/>
  <c r="T241" i="66" s="1"/>
  <c r="Z136" i="66"/>
  <c r="Y280" i="66"/>
  <c r="Y136" i="66"/>
  <c r="O136" i="66"/>
  <c r="Z280" i="66"/>
  <c r="U179" i="66"/>
  <c r="Q179" i="66"/>
  <c r="U34" i="66"/>
  <c r="Q34" i="66"/>
  <c r="Y83" i="66"/>
  <c r="Z227" i="66"/>
  <c r="Y227" i="66"/>
  <c r="O83" i="66"/>
  <c r="Z83" i="66"/>
  <c r="O227" i="66"/>
  <c r="U226" i="66"/>
  <c r="Q226" i="66"/>
  <c r="R226" i="66" s="1"/>
  <c r="T226" i="66" s="1"/>
  <c r="V226" i="66"/>
  <c r="X226" i="66" s="1"/>
  <c r="V145" i="66"/>
  <c r="X145" i="66" s="1"/>
  <c r="U145" i="66"/>
  <c r="Q145" i="66"/>
  <c r="R145" i="66" s="1"/>
  <c r="T145" i="66" s="1"/>
  <c r="U130" i="66"/>
  <c r="V130" i="66"/>
  <c r="X130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V211" i="66"/>
  <c r="X211" i="66" s="1"/>
  <c r="Y19" i="66"/>
  <c r="O259" i="66"/>
  <c r="V259" i="66" s="1"/>
  <c r="X259" i="66" s="1"/>
  <c r="Q163" i="66"/>
  <c r="U163" i="66"/>
  <c r="U67" i="66"/>
  <c r="Q67" i="66"/>
  <c r="R67" i="66" s="1"/>
  <c r="T67" i="66" s="1"/>
  <c r="V67" i="66"/>
  <c r="X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U259" i="66"/>
  <c r="Q19" i="66"/>
  <c r="U19" i="66"/>
  <c r="Q115" i="66"/>
  <c r="R115" i="66" s="1"/>
  <c r="T115" i="66" s="1"/>
  <c r="V115" i="66"/>
  <c r="X115" i="66" s="1"/>
  <c r="U115" i="66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F70" i="66"/>
  <c r="D46" i="39"/>
  <c r="E108" i="38" s="1"/>
  <c r="F214" i="66"/>
  <c r="L46" i="39"/>
  <c r="E159" i="38" s="1"/>
  <c r="H6" i="41"/>
  <c r="C46" i="39"/>
  <c r="E91" i="38" s="1"/>
  <c r="F22" i="66"/>
  <c r="F262" i="66"/>
  <c r="M46" i="39"/>
  <c r="E176" i="38" s="1"/>
  <c r="F166" i="66"/>
  <c r="K46" i="39"/>
  <c r="E142" i="38" s="1"/>
  <c r="J6" i="41"/>
  <c r="F118" i="66"/>
  <c r="E46" i="39"/>
  <c r="E125" i="38" s="1"/>
  <c r="J118" i="66" l="1"/>
  <c r="N118" i="66" s="1"/>
  <c r="J445" i="37"/>
  <c r="G19" i="39"/>
  <c r="J22" i="66"/>
  <c r="N22" i="66" s="1"/>
  <c r="H445" i="37"/>
  <c r="J166" i="66"/>
  <c r="N166" i="66" s="1"/>
  <c r="H445" i="58"/>
  <c r="J214" i="66"/>
  <c r="I445" i="58"/>
  <c r="J70" i="66"/>
  <c r="N70" i="66" s="1"/>
  <c r="I445" i="37"/>
  <c r="F19" i="39"/>
  <c r="J262" i="66"/>
  <c r="J445" i="58"/>
  <c r="H445" i="41" l="1"/>
  <c r="I445" i="41"/>
  <c r="I461" i="58"/>
  <c r="I461" i="37"/>
  <c r="P214" i="66"/>
  <c r="W214" i="66"/>
  <c r="S214" i="66"/>
  <c r="P262" i="66"/>
  <c r="S262" i="66"/>
  <c r="W262" i="66"/>
  <c r="H460" i="37"/>
  <c r="H460" i="58"/>
  <c r="I460" i="58"/>
  <c r="I460" i="37"/>
  <c r="J5" i="58"/>
  <c r="J5" i="37"/>
  <c r="H5" i="37"/>
  <c r="H5" i="58"/>
  <c r="N262" i="66"/>
  <c r="O262" i="66" s="1"/>
  <c r="R166" i="66"/>
  <c r="W166" i="66"/>
  <c r="S166" i="66"/>
  <c r="P166" i="66"/>
  <c r="V166" i="66" s="1"/>
  <c r="S22" i="66"/>
  <c r="R22" i="66"/>
  <c r="W22" i="66"/>
  <c r="P22" i="66"/>
  <c r="V22" i="66" s="1"/>
  <c r="I5" i="37"/>
  <c r="I5" i="58"/>
  <c r="N214" i="66"/>
  <c r="O214" i="66" s="1"/>
  <c r="P70" i="66"/>
  <c r="W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W118" i="66"/>
  <c r="J460" i="41" l="1"/>
  <c r="X22" i="66"/>
  <c r="I460" i="41"/>
  <c r="T166" i="66"/>
  <c r="I461" i="41"/>
  <c r="H460" i="41"/>
  <c r="U262" i="66"/>
  <c r="V262" i="66"/>
  <c r="X262" i="66" s="1"/>
  <c r="Q262" i="66"/>
  <c r="R262" i="66" s="1"/>
  <c r="T262" i="66" s="1"/>
  <c r="V214" i="66"/>
  <c r="X214" i="66" s="1"/>
  <c r="Q214" i="66"/>
  <c r="R214" i="66" s="1"/>
  <c r="T214" i="66" s="1"/>
  <c r="U214" i="66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U22" i="66"/>
  <c r="Q22" i="66"/>
  <c r="Y118" i="66"/>
  <c r="H462" i="37"/>
  <c r="H462" i="58"/>
  <c r="J461" i="37"/>
  <c r="J461" i="58"/>
  <c r="T22" i="66"/>
  <c r="X166" i="66"/>
  <c r="J459" i="37"/>
  <c r="J459" i="58"/>
  <c r="U166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U118" i="66"/>
  <c r="Q118" i="66"/>
  <c r="R118" i="66" s="1"/>
  <c r="T118" i="66" s="1"/>
  <c r="V118" i="66"/>
  <c r="X118" i="66" s="1"/>
  <c r="H459" i="41"/>
  <c r="H462" i="41"/>
  <c r="G25" i="39"/>
  <c r="V70" i="66"/>
  <c r="X70" i="66" s="1"/>
  <c r="Q70" i="66"/>
  <c r="R70" i="66" s="1"/>
  <c r="T70" i="66" s="1"/>
  <c r="U70" i="66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F25" i="39"/>
  <c r="J461" i="41"/>
  <c r="I459" i="41"/>
  <c r="I462" i="41"/>
  <c r="J448" i="37" l="1"/>
  <c r="J448" i="41" s="1"/>
  <c r="J116" i="66"/>
  <c r="W116" i="66" s="1"/>
  <c r="I448" i="37"/>
  <c r="I448" i="41" s="1"/>
  <c r="D18" i="53"/>
  <c r="F18" i="53" s="1"/>
  <c r="H24" i="53" s="1"/>
  <c r="G24" i="53" s="1"/>
  <c r="W164" i="66"/>
  <c r="S164" i="66"/>
  <c r="S212" i="66"/>
  <c r="W212" i="66"/>
  <c r="S68" i="66"/>
  <c r="W68" i="66"/>
  <c r="G30" i="53"/>
  <c r="H36" i="53"/>
  <c r="G36" i="53" s="1"/>
  <c r="D6" i="53"/>
  <c r="F6" i="53" s="1"/>
  <c r="J20" i="66"/>
  <c r="H448" i="37"/>
  <c r="H448" i="41" s="1"/>
  <c r="S260" i="66"/>
  <c r="W260" i="66"/>
  <c r="S116" i="66" l="1"/>
  <c r="G18" i="53"/>
  <c r="E312" i="38" s="1"/>
  <c r="S20" i="66"/>
  <c r="W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C21" i="8"/>
  <c r="L116" i="66"/>
  <c r="J463" i="37"/>
  <c r="M116" i="66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Z68" i="66" s="1"/>
  <c r="H463" i="41"/>
  <c r="O260" i="66"/>
  <c r="N164" i="66"/>
  <c r="P164" i="66"/>
  <c r="V164" i="66" s="1"/>
  <c r="X164" i="66" s="1"/>
  <c r="R164" i="66"/>
  <c r="T164" i="66" s="1"/>
  <c r="Z116" i="66"/>
  <c r="Y116" i="66"/>
  <c r="O116" i="66"/>
  <c r="Z260" i="66"/>
  <c r="Y260" i="66"/>
  <c r="P20" i="66"/>
  <c r="V20" i="66" s="1"/>
  <c r="X20" i="66" s="1"/>
  <c r="R20" i="66"/>
  <c r="T20" i="66" s="1"/>
  <c r="N20" i="66"/>
  <c r="Y212" i="66" l="1"/>
  <c r="Z212" i="66"/>
  <c r="Y68" i="66"/>
  <c r="O212" i="66"/>
  <c r="V212" i="66" s="1"/>
  <c r="X212" i="66" s="1"/>
  <c r="O68" i="66"/>
  <c r="U68" i="66" s="1"/>
  <c r="O164" i="66"/>
  <c r="Y164" i="66"/>
  <c r="Z164" i="66"/>
  <c r="Z20" i="66"/>
  <c r="Y20" i="66"/>
  <c r="O20" i="66"/>
  <c r="V116" i="66"/>
  <c r="X116" i="66" s="1"/>
  <c r="U116" i="66"/>
  <c r="Q116" i="66"/>
  <c r="R116" i="66" s="1"/>
  <c r="T116" i="66" s="1"/>
  <c r="U260" i="66"/>
  <c r="V260" i="66"/>
  <c r="X260" i="66" s="1"/>
  <c r="Q260" i="66"/>
  <c r="R260" i="66" s="1"/>
  <c r="T260" i="66" s="1"/>
  <c r="V68" i="66" l="1"/>
  <c r="X68" i="66" s="1"/>
  <c r="Q212" i="66"/>
  <c r="R212" i="66" s="1"/>
  <c r="T212" i="66" s="1"/>
  <c r="U212" i="66"/>
  <c r="Q68" i="66"/>
  <c r="R68" i="66" s="1"/>
  <c r="T68" i="66" s="1"/>
  <c r="Q20" i="66"/>
  <c r="U20" i="66"/>
  <c r="Q164" i="66"/>
  <c r="U164" i="66"/>
  <c r="I4" i="37" l="1"/>
  <c r="I4" i="58"/>
  <c r="J4" i="58"/>
  <c r="J4" i="37"/>
  <c r="H4" i="58" l="1"/>
  <c r="H4" i="37"/>
  <c r="I4" i="41"/>
  <c r="D45" i="39" s="1"/>
  <c r="E19" i="53"/>
  <c r="F53" i="66"/>
  <c r="J4" i="41"/>
  <c r="E45" i="39" s="1"/>
  <c r="F101" i="66"/>
  <c r="E31" i="53"/>
  <c r="O4" i="58"/>
  <c r="F245" i="66"/>
  <c r="E37" i="53"/>
  <c r="M45" i="39"/>
  <c r="N4" i="58"/>
  <c r="F197" i="66"/>
  <c r="E25" i="53"/>
  <c r="L45" i="39"/>
  <c r="M56" i="39" l="1"/>
  <c r="M59" i="39"/>
  <c r="M60" i="39" s="1"/>
  <c r="E175" i="38"/>
  <c r="G18" i="39"/>
  <c r="E124" i="38"/>
  <c r="E56" i="39"/>
  <c r="E59" i="39"/>
  <c r="E60" i="39" s="1"/>
  <c r="F18" i="39"/>
  <c r="L56" i="39"/>
  <c r="E158" i="38"/>
  <c r="L59" i="39"/>
  <c r="L60" i="39" s="1"/>
  <c r="D59" i="39"/>
  <c r="D60" i="39" s="1"/>
  <c r="D56" i="39"/>
  <c r="E107" i="38"/>
  <c r="E7" i="53"/>
  <c r="H4" i="41"/>
  <c r="K45" i="39" s="1"/>
  <c r="F5" i="66"/>
  <c r="M4" i="58"/>
  <c r="F149" i="66"/>
  <c r="E13" i="53"/>
  <c r="C45" i="39" l="1"/>
  <c r="C59" i="39" s="1"/>
  <c r="C60" i="39" s="1"/>
  <c r="L57" i="39"/>
  <c r="L58" i="39"/>
  <c r="K59" i="39"/>
  <c r="K60" i="39" s="1"/>
  <c r="E141" i="38"/>
  <c r="K56" i="39"/>
  <c r="E57" i="39"/>
  <c r="E58" i="39"/>
  <c r="J444" i="37"/>
  <c r="D31" i="53"/>
  <c r="F31" i="53" s="1"/>
  <c r="H37" i="53" s="1"/>
  <c r="J101" i="66"/>
  <c r="J452" i="37"/>
  <c r="I452" i="37"/>
  <c r="D19" i="53"/>
  <c r="F19" i="53" s="1"/>
  <c r="H25" i="53" s="1"/>
  <c r="I444" i="37"/>
  <c r="J53" i="66"/>
  <c r="D57" i="39"/>
  <c r="D58" i="39"/>
  <c r="J452" i="58"/>
  <c r="D37" i="53"/>
  <c r="F37" i="53" s="1"/>
  <c r="J245" i="66"/>
  <c r="J444" i="58"/>
  <c r="D25" i="53"/>
  <c r="F25" i="53" s="1"/>
  <c r="J197" i="66"/>
  <c r="I444" i="58"/>
  <c r="I452" i="58"/>
  <c r="M57" i="39"/>
  <c r="M58" i="39"/>
  <c r="C56" i="39" l="1"/>
  <c r="C58" i="39" s="1"/>
  <c r="E90" i="38"/>
  <c r="H452" i="37" s="1"/>
  <c r="H31" i="53"/>
  <c r="G31" i="53" s="1"/>
  <c r="G37" i="53"/>
  <c r="F247" i="66"/>
  <c r="J457" i="58"/>
  <c r="W53" i="66"/>
  <c r="S53" i="66"/>
  <c r="I467" i="37"/>
  <c r="F54" i="66"/>
  <c r="I444" i="41"/>
  <c r="K57" i="39"/>
  <c r="K58" i="39"/>
  <c r="D13" i="53"/>
  <c r="F13" i="53" s="1"/>
  <c r="H7" i="53" s="1"/>
  <c r="H452" i="58"/>
  <c r="J149" i="66"/>
  <c r="H444" i="58"/>
  <c r="F198" i="66"/>
  <c r="I467" i="58"/>
  <c r="I457" i="37"/>
  <c r="F55" i="66"/>
  <c r="I452" i="41"/>
  <c r="I457" i="58"/>
  <c r="F199" i="66"/>
  <c r="S197" i="66"/>
  <c r="W197" i="66"/>
  <c r="F103" i="66"/>
  <c r="J452" i="41"/>
  <c r="J457" i="37"/>
  <c r="G25" i="53"/>
  <c r="H19" i="53"/>
  <c r="G19" i="53" s="1"/>
  <c r="S101" i="66"/>
  <c r="W101" i="66"/>
  <c r="J444" i="41"/>
  <c r="F246" i="66"/>
  <c r="J467" i="58"/>
  <c r="S245" i="66"/>
  <c r="W245" i="66"/>
  <c r="J467" i="37"/>
  <c r="F102" i="66"/>
  <c r="H444" i="37" l="1"/>
  <c r="F6" i="66" s="1"/>
  <c r="C57" i="39"/>
  <c r="J5" i="66"/>
  <c r="W5" i="66" s="1"/>
  <c r="D7" i="53"/>
  <c r="F7" i="53" s="1"/>
  <c r="G7" i="53" s="1"/>
  <c r="I467" i="41"/>
  <c r="L198" i="66"/>
  <c r="P198" i="66" s="1"/>
  <c r="H467" i="58"/>
  <c r="F150" i="66"/>
  <c r="J467" i="41"/>
  <c r="O3" i="41" s="1"/>
  <c r="S149" i="66"/>
  <c r="W149" i="66"/>
  <c r="L246" i="66"/>
  <c r="P246" i="66" s="1"/>
  <c r="F151" i="66"/>
  <c r="H457" i="58"/>
  <c r="J458" i="58"/>
  <c r="E385" i="38" s="1"/>
  <c r="K266" i="66" s="1"/>
  <c r="N266" i="66" s="1"/>
  <c r="E384" i="38"/>
  <c r="K247" i="66" s="1"/>
  <c r="N247" i="66" s="1"/>
  <c r="E378" i="38"/>
  <c r="K199" i="66" s="1"/>
  <c r="N199" i="66" s="1"/>
  <c r="I458" i="58"/>
  <c r="E379" i="38" s="1"/>
  <c r="K218" i="66" s="1"/>
  <c r="N218" i="66" s="1"/>
  <c r="H452" i="41"/>
  <c r="F7" i="66"/>
  <c r="H457" i="37"/>
  <c r="L54" i="66"/>
  <c r="P54" i="66" s="1"/>
  <c r="E307" i="38"/>
  <c r="E313" i="38"/>
  <c r="L102" i="66"/>
  <c r="P102" i="66" s="1"/>
  <c r="E325" i="38"/>
  <c r="M197" i="66" s="1"/>
  <c r="E319" i="38"/>
  <c r="E360" i="38"/>
  <c r="K55" i="66" s="1"/>
  <c r="N55" i="66" s="1"/>
  <c r="I458" i="37"/>
  <c r="I457" i="41"/>
  <c r="E349" i="38"/>
  <c r="M245" i="66" s="1"/>
  <c r="E343" i="38"/>
  <c r="J457" i="41"/>
  <c r="J458" i="37"/>
  <c r="E366" i="38"/>
  <c r="K103" i="66" s="1"/>
  <c r="N103" i="66" s="1"/>
  <c r="E337" i="38"/>
  <c r="E331" i="38"/>
  <c r="N102" i="66" l="1"/>
  <c r="H467" i="37"/>
  <c r="H444" i="41"/>
  <c r="H467" i="41"/>
  <c r="M3" i="41" s="1"/>
  <c r="N198" i="66"/>
  <c r="H13" i="53"/>
  <c r="G13" i="53" s="1"/>
  <c r="E301" i="38" s="1"/>
  <c r="M149" i="66" s="1"/>
  <c r="S5" i="66"/>
  <c r="Y199" i="66"/>
  <c r="J464" i="37"/>
  <c r="L101" i="66"/>
  <c r="Y247" i="66"/>
  <c r="Z247" i="66"/>
  <c r="Y103" i="66"/>
  <c r="Z103" i="66"/>
  <c r="N246" i="66"/>
  <c r="O246" i="66" s="1"/>
  <c r="L197" i="66"/>
  <c r="I464" i="58"/>
  <c r="J458" i="41"/>
  <c r="E367" i="38"/>
  <c r="K122" i="66" s="1"/>
  <c r="N122" i="66" s="1"/>
  <c r="L6" i="66"/>
  <c r="P6" i="66" s="1"/>
  <c r="V6" i="66" s="1"/>
  <c r="X6" i="66" s="1"/>
  <c r="E289" i="38"/>
  <c r="E283" i="38"/>
  <c r="D22" i="8"/>
  <c r="M101" i="66"/>
  <c r="J464" i="58"/>
  <c r="L245" i="66"/>
  <c r="M53" i="66"/>
  <c r="C22" i="8"/>
  <c r="L53" i="66"/>
  <c r="I464" i="37"/>
  <c r="N54" i="66"/>
  <c r="E361" i="38"/>
  <c r="K74" i="66" s="1"/>
  <c r="N74" i="66" s="1"/>
  <c r="I458" i="41"/>
  <c r="Y55" i="66"/>
  <c r="Z55" i="66"/>
  <c r="Z199" i="66"/>
  <c r="E354" i="38"/>
  <c r="K7" i="66" s="1"/>
  <c r="N7" i="66" s="1"/>
  <c r="H458" i="37"/>
  <c r="H457" i="41"/>
  <c r="L150" i="66"/>
  <c r="P150" i="66" s="1"/>
  <c r="V150" i="66" s="1"/>
  <c r="X150" i="66" s="1"/>
  <c r="E372" i="38"/>
  <c r="K151" i="66" s="1"/>
  <c r="N151" i="66" s="1"/>
  <c r="H458" i="58"/>
  <c r="E373" i="38" s="1"/>
  <c r="K170" i="66" s="1"/>
  <c r="N170" i="66" s="1"/>
  <c r="O198" i="66"/>
  <c r="E295" i="38" l="1"/>
  <c r="I464" i="41"/>
  <c r="N6" i="66"/>
  <c r="Z102" i="66"/>
  <c r="N150" i="66"/>
  <c r="Z7" i="66"/>
  <c r="Y7" i="66"/>
  <c r="Y151" i="66"/>
  <c r="Z151" i="66"/>
  <c r="H464" i="58"/>
  <c r="L149" i="66"/>
  <c r="H464" i="37"/>
  <c r="L5" i="66"/>
  <c r="V198" i="66"/>
  <c r="X198" i="66" s="1"/>
  <c r="Q198" i="66"/>
  <c r="U198" i="66"/>
  <c r="M5" i="66"/>
  <c r="B22" i="8"/>
  <c r="Y218" i="66"/>
  <c r="Y74" i="66"/>
  <c r="Z74" i="66"/>
  <c r="Z218" i="66"/>
  <c r="O6" i="66"/>
  <c r="Y6" i="66"/>
  <c r="Z150" i="66"/>
  <c r="Z6" i="66"/>
  <c r="Y150" i="66"/>
  <c r="Y198" i="66"/>
  <c r="Y54" i="66"/>
  <c r="O54" i="66"/>
  <c r="Z198" i="66"/>
  <c r="Z54" i="66"/>
  <c r="Y246" i="66"/>
  <c r="Z122" i="66"/>
  <c r="Y266" i="66"/>
  <c r="Y122" i="66"/>
  <c r="Z266" i="66"/>
  <c r="Z246" i="66"/>
  <c r="P53" i="66"/>
  <c r="N53" i="66"/>
  <c r="Y102" i="66"/>
  <c r="P197" i="66"/>
  <c r="N197" i="66"/>
  <c r="O197" i="66" s="1"/>
  <c r="O102" i="66"/>
  <c r="H458" i="41"/>
  <c r="E355" i="38"/>
  <c r="K26" i="66" s="1"/>
  <c r="N26" i="66" s="1"/>
  <c r="P245" i="66"/>
  <c r="N245" i="66"/>
  <c r="Q246" i="66"/>
  <c r="V246" i="66"/>
  <c r="X246" i="66" s="1"/>
  <c r="U246" i="66"/>
  <c r="P101" i="66"/>
  <c r="N101" i="66"/>
  <c r="J464" i="41"/>
  <c r="O150" i="66" l="1"/>
  <c r="O53" i="66"/>
  <c r="Y197" i="66"/>
  <c r="Z53" i="66"/>
  <c r="Y53" i="66"/>
  <c r="Z197" i="66"/>
  <c r="O245" i="66"/>
  <c r="Y170" i="66"/>
  <c r="Z170" i="66"/>
  <c r="Y26" i="66"/>
  <c r="Z26" i="66"/>
  <c r="P5" i="66"/>
  <c r="V5" i="66" s="1"/>
  <c r="X5" i="66" s="1"/>
  <c r="R5" i="66"/>
  <c r="T5" i="66" s="1"/>
  <c r="N5" i="66"/>
  <c r="H464" i="41"/>
  <c r="U102" i="66"/>
  <c r="Q102" i="66"/>
  <c r="V102" i="66"/>
  <c r="X102" i="66" s="1"/>
  <c r="U6" i="66"/>
  <c r="Q6" i="66"/>
  <c r="V197" i="66"/>
  <c r="X197" i="66" s="1"/>
  <c r="U197" i="66"/>
  <c r="Q197" i="66"/>
  <c r="R197" i="66" s="1"/>
  <c r="T197" i="66" s="1"/>
  <c r="P149" i="66"/>
  <c r="V149" i="66" s="1"/>
  <c r="X149" i="66" s="1"/>
  <c r="R149" i="66"/>
  <c r="T149" i="66" s="1"/>
  <c r="N149" i="66"/>
  <c r="O149" i="66" s="1"/>
  <c r="V54" i="66"/>
  <c r="X54" i="66" s="1"/>
  <c r="Q54" i="66"/>
  <c r="U54" i="66"/>
  <c r="Y245" i="66"/>
  <c r="O101" i="66"/>
  <c r="Z245" i="66"/>
  <c r="Z101" i="66"/>
  <c r="Y101" i="66"/>
  <c r="U150" i="66" l="1"/>
  <c r="Q150" i="66"/>
  <c r="V101" i="66"/>
  <c r="X101" i="66" s="1"/>
  <c r="U101" i="66"/>
  <c r="Q101" i="66"/>
  <c r="R101" i="66" s="1"/>
  <c r="T101" i="66" s="1"/>
  <c r="Q245" i="66"/>
  <c r="R245" i="66" s="1"/>
  <c r="T245" i="66" s="1"/>
  <c r="V245" i="66"/>
  <c r="X245" i="66" s="1"/>
  <c r="U245" i="66"/>
  <c r="Q149" i="66"/>
  <c r="U149" i="66"/>
  <c r="Z149" i="66"/>
  <c r="Y5" i="66"/>
  <c r="O5" i="66"/>
  <c r="Y149" i="66"/>
  <c r="Z5" i="66"/>
  <c r="U53" i="66"/>
  <c r="V53" i="66"/>
  <c r="X53" i="66" s="1"/>
  <c r="Q53" i="66"/>
  <c r="R53" i="66" s="1"/>
  <c r="T53" i="66" s="1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<sst xmlns="http://schemas.openxmlformats.org/spreadsheetml/2006/main" count="4026" uniqueCount="339">
  <si>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</si>
  <si>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</si>
  <si>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</si>
  <si>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</si>
  <si>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</si>
  <si>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</si>
  <si>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</si>
  <si>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</si>
  <si>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</si>
  <si>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</si>
  <si>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</si>
  <si>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</si>
  <si>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</si>
  <si>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</si>
  <si>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</si>
  <si>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</si>
  <si>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</si>
  <si>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</si>
  <si>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</si>
  <si>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</si>
  <si>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</si>
  <si>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</si>
  <si>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</si>
  <si>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</si>
  <si>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</si>
  <si>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</si>
  <si>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</si>
  <si>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</si>
  <si>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</si>
  <si>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</si>
  <si>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</si>
  <si>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</si>
  <si>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</si>
  <si>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</si>
  <si>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</si>
  <si>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</si>
  <si>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</si>
  <si>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</si>
  <si>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</si>
  <si>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</si>
  <si>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</si>
  <si>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</si>
  <si>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</si>
  <si>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</si>
  <si>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</si>
  <si>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</si>
  <si>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</si>
  <si>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</si>
  <si>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</si>
  <si>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</si>
  <si>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</si>
  <si>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</si>
  <si>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</si>
  <si>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</si>
  <si>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</si>
  <si>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</si>
  <si>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</si>
  <si>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</si>
  <si>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</si>
  <si>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</si>
  <si>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</si>
  <si>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</si>
  <si>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</si>
  <si>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</si>
  <si>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</si>
  <si>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</si>
  <si>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</si>
  <si>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</si>
  <si>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</si>
  <si>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</si>
  <si>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</si>
  <si>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</si>
  <si>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</si>
  <si>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</si>
  <si>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</si>
  <si>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</si>
  <si>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</si>
  <si>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</si>
  <si>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</si>
  <si>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</si>
  <si>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</si>
  <si>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</si>
  <si>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</si>
  <si>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</si>
  <si>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</si>
  <si>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</si>
  <si>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</si>
  <si>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</si>
  <si>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</si>
  <si>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</si>
  <si>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</si>
  <si>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</si>
  <si>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</si>
  <si>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</si>
  <si>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</si>
  <si>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</si>
  <si>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</si>
  <si>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</si>
  <si>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</si>
  <si>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</si>
  <si>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</si>
  <si>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</si>
  <si>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</si>
  <si>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</si>
  <si>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</si>
  <si>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</si>
  <si>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</si>
  <si>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</si>
  <si>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</si>
  <si>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</si>
  <si>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</si>
  <si>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</si>
  <si>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</si>
  <si>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</si>
  <si>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</si>
  <si>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</si>
  <si>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</si>
  <si>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</si>
  <si>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</si>
  <si>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</si>
  <si>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</si>
  <si>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</si>
  <si>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</si>
  <si>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</si>
  <si>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</si>
  <si>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</si>
  <si>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</si>
  <si>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</si>
  <si>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</si>
  <si>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</si>
  <si>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</si>
  <si>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</si>
  <si>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</si>
  <si>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</si>
  <si>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</si>
  <si>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</si>
  <si>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</si>
  <si>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</si>
  <si>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</si>
  <si>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</si>
  <si>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</si>
  <si>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</si>
  <si>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</si>
  <si>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</si>
  <si>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</si>
  <si>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</si>
  <si>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</si>
  <si>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</si>
  <si>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</si>
  <si>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</si>
  <si>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</si>
  <si>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</si>
  <si>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</si>
  <si>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</si>
  <si>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</si>
  <si>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</si>
  <si>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</si>
  <si>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</si>
  <si>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</si>
  <si>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</si>
  <si>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</si>
  <si>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</si>
  <si>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</si>
  <si>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</si>
  <si>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</si>
  <si>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</si>
  <si>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</si>
  <si>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</si>
  <si>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</si>
  <si>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</si>
  <si>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</si>
  <si>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</si>
  <si>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</si>
  <si>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</si>
  <si>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</si>
  <si>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</si>
  <si>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</si>
  <si>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</si>
  <si>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</si>
  <si>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</si>
  <si>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</si>
  <si>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</si>
  <si>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</si>
  <si>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</si>
  <si>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</si>
  <si>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</si>
  <si>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</si>
  <si>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</si>
  <si>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</si>
  <si>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</si>
  <si>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</si>
  <si>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</si>
  <si>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</si>
  <si>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</si>
  <si>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</si>
  <si>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</si>
  <si>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</si>
  <si>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</si>
  <si>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</si>
  <si>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</si>
  <si>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</si>
  <si>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</si>
  <si>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</si>
  <si>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</si>
  <si>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</si>
  <si>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</si>
  <si>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</si>
  <si>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</si>
  <si>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</si>
  <si>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</si>
  <si>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</si>
  <si>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</si>
  <si>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Resterende potentiale (produktion - forbrug til foder, strøelse og biogas)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</si>
  <si>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</si>
  <si>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</si>
  <si>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</si>
  <si>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</si>
  <si>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</si>
  <si>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</si>
  <si>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</si>
  <si>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</si>
  <si>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</si>
  <si>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</si>
  <si>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</si>
  <si>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</si>
  <si>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</si>
  <si>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</si>
  <si>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</si>
  <si>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</si>
  <si>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</si>
  <si>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</si>
  <si>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</si>
  <si>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</si>
  <si>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</si>
  <si>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</si>
  <si>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</si>
  <si>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</si>
  <si>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</si>
  <si>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</si>
  <si>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</si>
  <si>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</si>
  <si>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</si>
  <si>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</si>
  <si>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</si>
  <si>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</si>
  <si>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</si>
  <si>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</si>
  <si>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</si>
  <si>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</si>
  <si>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</si>
  <si>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Sat til 98% i basisåret for at nå 0.14 PJ til energiproduktion (efter ENS' energistatistik)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</si>
  <si>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</si>
  <si>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</si>
  <si>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</si>
  <si>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</si>
  <si>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</si>
  <si>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</si>
  <si>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</si>
  <si>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</si>
  <si>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</si>
  <si>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</si>
  <si>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</si>
  <si>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</si>
  <si>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</si>
  <si>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</si>
  <si>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</si>
  <si>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</si>
  <si>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</si>
  <si>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</si>
  <si>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</si>
  <si>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</si>
  <si>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</si>
  <si>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</si>
  <si>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</si>
  <si>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</si>
  <si>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</si>
  <si>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</si>
  <si>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</si>
  <si>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</si>
  <si>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</si>
  <si>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</si>
  <si>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</si>
  <si>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</si>
  <si>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</si>
  <si>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</si>
  <si>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</si>
  <si>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</si>
  <si>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</si>
  <si>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</si>
  <si>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</si>
  <si>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</si>
  <si>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</si>
  <si>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</si>
  <si>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</si>
  <si>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</si>
  <si>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</si>
  <si>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</si>
  <si>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</si>
  <si>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</si>
  <si>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</si>
  <si>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</si>
  <si>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</si>
  <si>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</si>
  <si>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</si>
  <si>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</si>
  <si>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</si>
  <si>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</si>
  <si>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Biogas outputfaktor for at opnå resultaterne fra ENS energistatistik (antaget at industri+bioaffald er mest usikker)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</si>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</sst>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9.5578770599643342E-2"/>
          <c:w val="0.80231790500786004"/>
          <c:h val="0.48593127476416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104</xdr:row>
      <xdr:rowOff>0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8500"/>
          <a:ext cx="1460500" cy="4000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Rapsolie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7974536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078703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0185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e v="#REF!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36573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 count="3">
        <n v="0"/>
        <e v="#REF!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71296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06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40740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52314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</r>
  <r>
    <x v="4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</r>
  <r>
    <x v="4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</r>
  <r>
    <x v="4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</r>
  <r>
    <x v="4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</r>
  <r>
    <x v="4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</r>
  <r>
    <x v="4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n v="0"/>
    <x v="2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2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2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n v="1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2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2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n v="0"/>
    <x v="2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2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2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n v="0"/>
    <x v="2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2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2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2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n v="0"/>
    <x v="2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2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2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n v="0"/>
    <x v="2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2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2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n v="1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2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n v="0"/>
    <x v="2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2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2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n v="0"/>
    <x v="2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2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2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n v="1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2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2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n v="0"/>
    <x v="2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2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2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n v="0"/>
    <x v="2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2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2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2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n v="0"/>
    <x v="2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2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2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n v="0"/>
    <x v="2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2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2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n v="1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2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n v="0"/>
    <x v="2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2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2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x v="0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x v="0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x v="0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x v="0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x v="0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x v="0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e v="#REF!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e v="#REF!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e v="#REF!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e v="#REF!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e v="#REF!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e v="#REF!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3102.9355833262225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e v="#REF!"/>
  </r>
  <r>
    <x v="4"/>
    <s v="Vestdanmark"/>
    <x v="22"/>
    <x v="0"/>
    <n v="0"/>
  </r>
  <r>
    <x v="4"/>
    <s v="Vestdanmark"/>
    <x v="34"/>
    <x v="0"/>
    <n v="152043.84358298479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e v="#REF!"/>
  </r>
  <r>
    <x v="3"/>
    <s v="Østdanmark"/>
    <x v="22"/>
    <x v="0"/>
    <n v="734174.89910281403"/>
  </r>
  <r>
    <x v="3"/>
    <s v="Østdanmark"/>
    <x v="34"/>
    <x v="0"/>
    <n v="1238.8744472557355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e v="#REF!"/>
  </r>
  <r>
    <x v="4"/>
    <s v="Østdanmark"/>
    <x v="22"/>
    <x v="0"/>
    <n v="0"/>
  </r>
  <r>
    <x v="4"/>
    <s v="Østdanmark"/>
    <x v="34"/>
    <x v="0"/>
    <n v="60704.84791553098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e v="#REF!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e v="#REF!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e v="#REF!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e v="#REF!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e v="#REF!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e v="#REF!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e v="#REF!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e v="#REF!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e v="#REF!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e v="#REF!"/>
  </r>
  <r>
    <x v="5"/>
    <s v="Vestdanmark"/>
    <x v="38"/>
    <x v="0"/>
    <e v="#REF!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e v="#REF!"/>
  </r>
  <r>
    <x v="5"/>
    <s v="Vestdanmark"/>
    <x v="38"/>
    <x v="1"/>
    <e v="#REF!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e v="#REF!"/>
  </r>
  <r>
    <x v="5"/>
    <s v="Vestdanmark"/>
    <x v="38"/>
    <x v="2"/>
    <e v="#REF!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e v="#REF!"/>
  </r>
  <r>
    <x v="5"/>
    <s v="Østdanmark"/>
    <x v="38"/>
    <x v="0"/>
    <e v="#REF!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e v="#REF!"/>
  </r>
  <r>
    <x v="5"/>
    <s v="Østdanmark"/>
    <x v="38"/>
    <x v="1"/>
    <e v="#REF!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e v="#REF!"/>
  </r>
  <r>
    <x v="5"/>
    <s v="Østdanmark"/>
    <x v="38"/>
    <x v="2"/>
    <e v="#REF!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G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2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H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 v="8"/>
    </i>
    <i>
      <x v="10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2"/>
        <item x="0"/>
        <item x="1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J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A4" sqref="A4:B4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337" t="s">
        <v>281</v>
      </c>
      <c r="B1" s="337"/>
      <c r="D1" s="75" t="s">
        <v>294</v>
      </c>
    </row>
    <row r="2" spans="1:6" x14ac:dyDescent="0.55000000000000004">
      <c r="A2" s="6" t="s">
        <v>0</v>
      </c>
      <c r="B2" s="227" t="s">
        <v>314</v>
      </c>
    </row>
    <row r="4" spans="1:6" ht="30" customHeight="1" thickBot="1" x14ac:dyDescent="0.6">
      <c r="A4" s="336" t="s">
        <v>280</v>
      </c>
      <c r="B4" s="336"/>
      <c r="D4" s="75"/>
    </row>
    <row r="5" spans="1:6" ht="14.7" thickTop="1" x14ac:dyDescent="0.55000000000000004">
      <c r="A5" s="259" t="s">
        <v>86</v>
      </c>
      <c r="B5" s="258" t="s">
        <v>316</v>
      </c>
      <c r="D5" s="215" t="s">
        <v>43</v>
      </c>
      <c r="E5" s="216"/>
      <c r="F5" s="12"/>
    </row>
    <row r="6" spans="1:6" x14ac:dyDescent="0.55000000000000004">
      <c r="A6" s="209" t="s">
        <v>84</v>
      </c>
      <c r="B6" s="210" t="s">
        <v>264</v>
      </c>
      <c r="D6" s="217" t="str" cm="1">
        <f t="array" ref="D6">[1]!Jordbund1</f>
        <v>JB1-10</v>
      </c>
      <c r="E6" s="218" t="s">
        <v>44</v>
      </c>
      <c r="F6" s="12"/>
    </row>
    <row r="7" spans="1:6" x14ac:dyDescent="0.55000000000000004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55000000000000004">
      <c r="A8" s="225" t="s">
        <v>92</v>
      </c>
      <c r="B8" s="210" t="s">
        <v>265</v>
      </c>
      <c r="D8" s="217" t="str" cm="1">
        <f t="array" ref="D8">[1]!Organ12</f>
        <v>OC12</v>
      </c>
      <c r="E8" s="218" t="s">
        <v>46</v>
      </c>
      <c r="F8" s="12"/>
    </row>
    <row r="9" spans="1:6" x14ac:dyDescent="0.55000000000000004">
      <c r="A9" s="211" t="s">
        <v>93</v>
      </c>
      <c r="B9" s="210" t="s">
        <v>266</v>
      </c>
      <c r="D9" s="217"/>
      <c r="E9" s="218"/>
      <c r="F9" s="12"/>
    </row>
    <row r="10" spans="1:6" x14ac:dyDescent="0.55000000000000004">
      <c r="A10" s="209"/>
      <c r="B10" s="210"/>
      <c r="D10" s="219" t="s">
        <v>47</v>
      </c>
      <c r="E10" s="218"/>
      <c r="F10" s="12"/>
    </row>
    <row r="11" spans="1:6" x14ac:dyDescent="0.55000000000000004">
      <c r="A11" s="225" t="s">
        <v>69</v>
      </c>
      <c r="B11" s="226" t="s">
        <v>267</v>
      </c>
      <c r="D11" s="217" t="str" cm="1">
        <f t="array" ref="D11">[1]!Bebyg</f>
        <v>Bebyggelse &amp; infrastruktur</v>
      </c>
      <c r="E11" s="218"/>
      <c r="F11" s="12"/>
    </row>
    <row r="12" spans="1:6" x14ac:dyDescent="0.55000000000000004">
      <c r="A12" s="209" t="s">
        <v>261</v>
      </c>
      <c r="B12" s="210" t="s">
        <v>268</v>
      </c>
      <c r="D12" s="217" t="str" cm="1">
        <f t="array" ref="D12">[1]!Afgrøder</f>
        <v>Landbrugsafgrøder</v>
      </c>
      <c r="E12" s="218"/>
      <c r="F12" s="12"/>
    </row>
    <row r="13" spans="1:6" x14ac:dyDescent="0.55000000000000004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55000000000000004">
      <c r="A14" s="225" t="s">
        <v>70</v>
      </c>
      <c r="B14" s="226" t="s">
        <v>269</v>
      </c>
      <c r="D14" s="217" t="str" cm="1">
        <f t="array" ref="D14">[1]!NaturAreal</f>
        <v>Natur</v>
      </c>
      <c r="E14" s="218"/>
      <c r="F14" s="12"/>
    </row>
    <row r="15" spans="1:6" x14ac:dyDescent="0.55000000000000004">
      <c r="A15" s="209" t="s">
        <v>71</v>
      </c>
      <c r="B15" s="210" t="s">
        <v>270</v>
      </c>
      <c r="D15" s="217" t="str" cm="1">
        <f t="array" ref="D15">[1]!IKareal</f>
        <v>Ikke klassificeret</v>
      </c>
      <c r="E15" s="218"/>
      <c r="F15" s="12"/>
    </row>
    <row r="16" spans="1:6" x14ac:dyDescent="0.55000000000000004">
      <c r="A16" s="209" t="s">
        <v>72</v>
      </c>
      <c r="B16" s="210"/>
      <c r="D16" s="220"/>
      <c r="E16" s="218"/>
    </row>
    <row r="17" spans="1:5" x14ac:dyDescent="0.55000000000000004">
      <c r="A17" s="209" t="s">
        <v>73</v>
      </c>
      <c r="B17" s="226" t="s">
        <v>277</v>
      </c>
      <c r="D17" s="221" t="s">
        <v>94</v>
      </c>
      <c r="E17" s="218"/>
    </row>
    <row r="18" spans="1:5" x14ac:dyDescent="0.55000000000000004">
      <c r="A18" s="209" t="s">
        <v>74</v>
      </c>
      <c r="B18" s="338" t="s">
        <v>282</v>
      </c>
      <c r="D18" s="217" cm="1">
        <f t="array" ref="D18">[1]!År1</f>
        <v>2019</v>
      </c>
      <c r="E18" s="218"/>
    </row>
    <row r="19" spans="1:5" x14ac:dyDescent="0.55000000000000004">
      <c r="A19" s="209" t="s">
        <v>262</v>
      </c>
      <c r="B19" s="338"/>
      <c r="D19" s="217" cm="1">
        <f t="array" ref="D19">[1]!År2</f>
        <v>2030</v>
      </c>
      <c r="E19" s="218"/>
    </row>
    <row r="20" spans="1:5" ht="14.7" thickBot="1" x14ac:dyDescent="0.6">
      <c r="A20" s="209" t="s">
        <v>263</v>
      </c>
      <c r="B20" s="210"/>
      <c r="D20" s="222" cm="1">
        <f t="array" ref="D20">[1]!År3</f>
        <v>2050</v>
      </c>
      <c r="E20" s="223"/>
    </row>
    <row r="21" spans="1:5" ht="14.7" thickTop="1" x14ac:dyDescent="0.55000000000000004">
      <c r="A21" s="209" t="s">
        <v>75</v>
      </c>
      <c r="B21" s="210"/>
    </row>
    <row r="22" spans="1:5" x14ac:dyDescent="0.55000000000000004">
      <c r="A22" s="209"/>
      <c r="B22" s="210"/>
    </row>
    <row r="23" spans="1:5" x14ac:dyDescent="0.55000000000000004">
      <c r="A23" s="260" t="s">
        <v>317</v>
      </c>
      <c r="B23" s="210"/>
    </row>
    <row r="24" spans="1:5" ht="14.7" thickBot="1" x14ac:dyDescent="0.6">
      <c r="A24" s="212" t="s">
        <v>1</v>
      </c>
      <c r="B24" s="213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S13" sqref="S13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384" width="9.15625" style="1"/>
  </cols>
  <sheetData>
    <row r="1" spans="1:17" ht="15" customHeight="1" x14ac:dyDescent="0.6">
      <c r="A1" s="257" t="s">
        <v>309</v>
      </c>
      <c r="B1" s="256"/>
      <c r="C1" s="339" t="s">
        <v>308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55000000000000004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55000000000000004">
      <c r="A3" s="75"/>
    </row>
    <row r="123" spans="3:3" x14ac:dyDescent="0.55000000000000004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abSelected="1" topLeftCell="A15" zoomScale="85" zoomScaleNormal="85" workbookViewId="0">
      <selection activeCell="A22" sqref="A22:XFD41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33" t="s">
        <v>283</v>
      </c>
      <c r="B1" s="75" t="s">
        <v>310</v>
      </c>
    </row>
    <row r="2" spans="1:18" ht="43" customHeight="1" x14ac:dyDescent="0.55000000000000004">
      <c r="A2" s="228" t="s">
        <v>293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318</v>
      </c>
      <c r="K2" s="6"/>
      <c r="L2" s="6"/>
      <c r="M2" s="6"/>
      <c r="N2" s="6"/>
      <c r="O2" s="6"/>
      <c r="P2" s="6"/>
    </row>
    <row r="3" spans="1:18" x14ac:dyDescent="0.55000000000000004">
      <c r="A3" s="2" t="s">
        <v>272</v>
      </c>
      <c r="B3" s="2" t="s">
        <v>274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273</v>
      </c>
      <c r="B4" s="2" t="s">
        <v>275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24" t="s">
        <v>278</v>
      </c>
      <c r="C5" s="9">
        <f>1900*11</f>
        <v>20900</v>
      </c>
      <c r="D5" s="9">
        <f>C5+1900*(D2-C2)</f>
        <v>58900</v>
      </c>
      <c r="E5" s="9" t="s">
        <v>279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61"/>
      <c r="J22" s="262" t="s">
        <v>311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55000000000000004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55000000000000004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55000000000000004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4.7" hidden="1" thickBot="1" x14ac:dyDescent="0.6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55000000000000004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55000000000000004">
      <c r="I32" s="268"/>
      <c r="J32" s="262" t="s">
        <v>312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55000000000000004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55000000000000004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55000000000000004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55000000000000004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4.7" hidden="1" thickBot="1" x14ac:dyDescent="0.6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55000000000000004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4" sqref="D34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32" t="s">
        <v>283</v>
      </c>
    </row>
    <row r="2" spans="1:9" ht="15.6" x14ac:dyDescent="0.6">
      <c r="A2" s="229" t="s">
        <v>67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5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276</v>
      </c>
    </row>
    <row r="18" spans="2:11" x14ac:dyDescent="0.55000000000000004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55000000000000004">
      <c r="B20" s="342" t="s">
        <v>338</v>
      </c>
      <c r="C20" s="25"/>
      <c r="D20" s="25"/>
      <c r="E20" s="25"/>
      <c r="F20" s="12"/>
      <c r="I20" s="1"/>
    </row>
    <row r="21" spans="2:11" ht="29.5" customHeight="1" x14ac:dyDescent="0.55000000000000004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55000000000000004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55000000000000004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4.7" thickBot="1" x14ac:dyDescent="0.6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4.7" thickBot="1" x14ac:dyDescent="0.6">
      <c r="B28" s="237" t="s">
        <v>271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340" t="s">
        <v>337</v>
      </c>
      <c r="C30" s="25"/>
      <c r="D30" s="25"/>
      <c r="E30" s="25"/>
      <c r="K30" s="12"/>
    </row>
    <row r="31" spans="2:11" x14ac:dyDescent="0.55000000000000004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55000000000000004">
      <c r="B46" s="25" t="s">
        <v>300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247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246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0.9453125" style="1" bestFit="1" customWidth="1"/>
    <col min="7" max="16384" width="9.15625" style="1"/>
  </cols>
  <sheetData>
    <row r="1" spans="1:9" x14ac:dyDescent="0.55000000000000004">
      <c r="A1" s="232" t="s">
        <v>283</v>
      </c>
    </row>
    <row r="2" spans="1:9" ht="14.7" thickBot="1" x14ac:dyDescent="0.6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328</v>
      </c>
    </row>
    <row r="3" spans="1:9" x14ac:dyDescent="0.55000000000000004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55000000000000004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55000000000000004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55000000000000004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55000000000000004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55000000000000004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55000000000000004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55000000000000004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55000000000000004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55000000000000004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55000000000000004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55000000000000004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329</v>
      </c>
    </row>
    <row r="15" spans="1:9" x14ac:dyDescent="0.55000000000000004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55000000000000004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4.7" thickBot="1" x14ac:dyDescent="0.6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4.7" thickBot="1" x14ac:dyDescent="0.6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330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31" t="s">
        <v>283</v>
      </c>
    </row>
    <row r="2" spans="1:4" x14ac:dyDescent="0.55000000000000004">
      <c r="A2" s="103" t="s">
        <v>253</v>
      </c>
    </row>
    <row r="3" spans="1:4" x14ac:dyDescent="0.55000000000000004">
      <c r="A3" s="6" t="s">
        <v>184</v>
      </c>
      <c r="B3" s="1" t="s">
        <v>171</v>
      </c>
    </row>
    <row r="4" spans="1:4" x14ac:dyDescent="0.55000000000000004">
      <c r="A4" s="6" t="s">
        <v>178</v>
      </c>
      <c r="B4" s="1" t="s">
        <v>172</v>
      </c>
    </row>
    <row r="5" spans="1:4" x14ac:dyDescent="0.55000000000000004">
      <c r="A5" s="6" t="s">
        <v>179</v>
      </c>
      <c r="B5" s="1" t="s">
        <v>173</v>
      </c>
    </row>
    <row r="6" spans="1:4" x14ac:dyDescent="0.55000000000000004">
      <c r="A6" s="6" t="s">
        <v>180</v>
      </c>
      <c r="B6" s="1" t="s">
        <v>188</v>
      </c>
    </row>
    <row r="7" spans="1:4" x14ac:dyDescent="0.55000000000000004">
      <c r="A7" s="6" t="s">
        <v>181</v>
      </c>
      <c r="B7" s="1" t="s">
        <v>189</v>
      </c>
    </row>
    <row r="8" spans="1:4" x14ac:dyDescent="0.55000000000000004">
      <c r="A8" s="6" t="s">
        <v>182</v>
      </c>
      <c r="B8" s="1" t="s">
        <v>190</v>
      </c>
    </row>
    <row r="9" spans="1:4" x14ac:dyDescent="0.55000000000000004">
      <c r="A9" s="2" t="s">
        <v>292</v>
      </c>
      <c r="B9" s="2"/>
      <c r="C9" s="214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291</v>
      </c>
      <c r="B11" s="2"/>
      <c r="C11" s="2"/>
      <c r="D11" s="2"/>
    </row>
    <row r="12" spans="1:4" x14ac:dyDescent="0.55000000000000004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178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179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180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181</v>
      </c>
      <c r="B16" s="7">
        <v>0</v>
      </c>
      <c r="C16" s="8">
        <v>0</v>
      </c>
      <c r="D16" s="8">
        <v>0</v>
      </c>
    </row>
    <row r="17" spans="1:13" x14ac:dyDescent="0.55000000000000004">
      <c r="A17" s="2" t="s">
        <v>182</v>
      </c>
      <c r="B17" s="7">
        <v>0</v>
      </c>
      <c r="C17" s="8">
        <v>0</v>
      </c>
      <c r="D17" s="8">
        <v>0</v>
      </c>
    </row>
    <row r="18" spans="1:13" x14ac:dyDescent="0.55000000000000004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55000000000000004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55000000000000004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55000000000000004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55000000000000004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55000000000000004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55000000000000004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55000000000000004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55000000000000004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55000000000000004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55000000000000004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55000000000000004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55000000000000004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55000000000000004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55000000000000004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55000000000000004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55000000000000004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55000000000000004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55000000000000004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55000000000000004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55000000000000004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55000000000000004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55000000000000004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55000000000000004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55000000000000004">
      <c r="B42" s="153"/>
    </row>
    <row r="43" spans="1:8" x14ac:dyDescent="0.55000000000000004">
      <c r="B43" s="153"/>
    </row>
    <row r="44" spans="1:8" x14ac:dyDescent="0.55000000000000004">
      <c r="B44" s="153"/>
    </row>
    <row r="46" spans="1:8" x14ac:dyDescent="0.55000000000000004">
      <c r="A46" s="343" t="s">
        <v>299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55000000000000004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55000000000000004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55000000000000004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55000000000000004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55000000000000004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55000000000000004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55000000000000004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015625" style="1" customWidth="1"/>
    <col min="8" max="8" width="11.5234375" style="1" bestFit="1" customWidth="1"/>
    <col min="9" max="16384" width="9.15625" style="1"/>
  </cols>
  <sheetData>
    <row r="1" spans="1:7" x14ac:dyDescent="0.55000000000000004">
      <c r="A1" s="321" t="s">
        <v>283</v>
      </c>
      <c r="F1" s="75" t="s">
        <v>245</v>
      </c>
    </row>
    <row r="2" spans="1:7" s="325" customFormat="1" x14ac:dyDescent="0.55000000000000004">
      <c r="A2" s="324"/>
      <c r="C2" s="345" t="s">
        <v>331</v>
      </c>
      <c r="D2" s="345"/>
      <c r="E2" s="345"/>
    </row>
    <row r="3" spans="1:7" s="12" customFormat="1" x14ac:dyDescent="0.55000000000000004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332</v>
      </c>
      <c r="G3" s="12" t="s">
        <v>328</v>
      </c>
    </row>
    <row r="4" spans="1:7" s="12" customFormat="1" x14ac:dyDescent="0.55000000000000004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333</v>
      </c>
    </row>
    <row r="5" spans="1:7" s="12" customFormat="1" x14ac:dyDescent="0.55000000000000004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55000000000000004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243</v>
      </c>
    </row>
    <row r="7" spans="1:7" s="12" customFormat="1" x14ac:dyDescent="0.55000000000000004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55000000000000004">
      <c r="A8" s="322"/>
      <c r="C8" s="12" t="s">
        <v>244</v>
      </c>
      <c r="F8" s="323"/>
    </row>
    <row r="9" spans="1:7" x14ac:dyDescent="0.55000000000000004">
      <c r="A9" s="322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55000000000000004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55000000000000004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62890625" style="1" customWidth="1"/>
    <col min="11" max="16384" width="9.15625" style="1"/>
  </cols>
  <sheetData>
    <row r="1" spans="1:10" x14ac:dyDescent="0.55000000000000004">
      <c r="A1" s="231" t="s">
        <v>283</v>
      </c>
    </row>
    <row r="2" spans="1:10" ht="15.6" x14ac:dyDescent="0.6">
      <c r="A2" s="229" t="s">
        <v>25</v>
      </c>
    </row>
    <row r="3" spans="1:10" x14ac:dyDescent="0.55000000000000004">
      <c r="A3" s="6" t="s">
        <v>315</v>
      </c>
    </row>
    <row r="4" spans="1:10" x14ac:dyDescent="0.55000000000000004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336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223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55000000000000004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55000000000000004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55000000000000004">
      <c r="A8" s="2" t="s">
        <v>208</v>
      </c>
      <c r="B8" s="87">
        <v>0</v>
      </c>
      <c r="C8" s="3"/>
      <c r="D8" s="3"/>
    </row>
    <row r="9" spans="1:10" x14ac:dyDescent="0.55000000000000004">
      <c r="A9" s="1" t="s">
        <v>224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334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3" t="s">
        <v>335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154</v>
      </c>
      <c r="B15" s="6"/>
      <c r="C15" s="6"/>
      <c r="D15" s="6"/>
      <c r="F15" s="1" t="s">
        <v>95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55000000000000004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55000000000000004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327</v>
      </c>
    </row>
    <row r="27" spans="1:9" hidden="1" x14ac:dyDescent="0.55000000000000004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153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A17" sqref="A17:G17"/>
    </sheetView>
  </sheetViews>
  <sheetFormatPr defaultColWidth="9.15625" defaultRowHeight="11.7" x14ac:dyDescent="0.45"/>
  <cols>
    <col min="1" max="1" width="15.83984375" style="125" customWidth="1"/>
    <col min="2" max="2" width="10.15625" style="125" bestFit="1" customWidth="1"/>
    <col min="3" max="3" width="10.15625" style="125" customWidth="1"/>
    <col min="4" max="4" width="11.83984375" style="125" bestFit="1" customWidth="1"/>
    <col min="5" max="5" width="11" style="125" customWidth="1"/>
    <col min="6" max="6" width="13.41796875" style="125" customWidth="1"/>
    <col min="7" max="7" width="22.15625" style="125" customWidth="1"/>
    <col min="8" max="8" width="10" style="125" hidden="1" customWidth="1"/>
    <col min="9" max="12" width="9.26171875" style="125" hidden="1" customWidth="1"/>
    <col min="13" max="13" width="24.26171875" style="125" hidden="1" customWidth="1"/>
    <col min="14" max="14" width="12.68359375" style="125" hidden="1" customWidth="1"/>
    <col min="15" max="15" width="9.26171875" style="125" hidden="1" customWidth="1"/>
    <col min="16" max="16" width="9.83984375" style="125" hidden="1" customWidth="1"/>
    <col min="17" max="23" width="0" style="125" hidden="1" customWidth="1"/>
    <col min="24" max="16384" width="9.15625" style="125"/>
  </cols>
  <sheetData>
    <row r="1" spans="1:29" ht="12" thickBot="1" x14ac:dyDescent="0.5">
      <c r="A1" s="230" t="s">
        <v>283</v>
      </c>
    </row>
    <row r="2" spans="1:29" ht="46.5" customHeight="1" x14ac:dyDescent="0.45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307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45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0.9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45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 t="s">
        <v>103</v>
      </c>
      <c r="G4" s="175">
        <v>0.9</v>
      </c>
      <c r="N4" s="250"/>
      <c r="Z4" s="124" t="s">
        <v>204</v>
      </c>
    </row>
    <row r="5" spans="1:29" x14ac:dyDescent="0.45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45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45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" thickBot="1" x14ac:dyDescent="0.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5" customHeight="1" x14ac:dyDescent="0.45">
      <c r="A10" s="129"/>
      <c r="B10" s="130"/>
      <c r="C10" s="349" t="s">
        <v>213</v>
      </c>
      <c r="D10" s="349"/>
      <c r="E10" s="349"/>
      <c r="F10" s="348" t="s">
        <v>212</v>
      </c>
      <c r="G10" s="348"/>
      <c r="J10" s="350" t="s">
        <v>214</v>
      </c>
      <c r="K10" s="350"/>
      <c r="L10" s="350"/>
    </row>
    <row r="11" spans="1:29" x14ac:dyDescent="0.45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217</v>
      </c>
    </row>
    <row r="12" spans="1:29" x14ac:dyDescent="0.45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forbrug'!$D$3:$D$290,Biogasanlæg!F$11)-D12</f>
        <v>8111792.5165442396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forbrug'!$D$3:$D$290,Biogasanlæg!G$11)-E12</f>
        <v>7766039.9283319097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215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</row>
    <row r="13" spans="1:29" x14ac:dyDescent="0.45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forbrug'!$D$3:$D$290,Biogasanlæg!F$11)-D13</f>
        <v>3337508.6121604759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forbrug'!$D$3:$D$290,Biogasanlæg!G$11)-E13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216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45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forbrug'!$D$3:$D$290,Biogasanlæg!F$11)-D14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forbrug'!$D$3:$D$290,Biogasanlæg!G$11)-E14</f>
        <v>4669.3150599254859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45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forbrug'!$D$3:$D$290,Biogasanlæg!F$11)-D15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forbrug'!$D$3:$D$290,Biogasanlæg!G$11)-E15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303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305</v>
      </c>
      <c r="V15" s="129"/>
      <c r="W15" s="129"/>
    </row>
    <row r="16" spans="1:29" x14ac:dyDescent="0.45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forbrug'!$D$3:$D$290,Biogasanlæg!F$11)-D16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forbrug'!$D$3:$D$290,Biogasanlæg!G$11)-E16</f>
        <v>1577517.9173522885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45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forbrug'!$D$3:$D$290,Biogasanlæg!F$11)-D17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forbrug'!$D$3:$D$290,Biogasanlæg!G$11)-E17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45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forbrug'!$D$3:$D$290,Biogasanlæg!F$11)-D18</f>
        <v>-363995</v>
      </c>
      <c r="G18" s="244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forbrug'!$D$3:$D$290,Biogasanlæg!G$11)-E18</f>
        <v>-369777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85.410000000000011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301</v>
      </c>
      <c r="N18" s="162">
        <f>SUM(S18:Z18)</f>
        <v>729134</v>
      </c>
      <c r="O18" s="152">
        <f>N18-C18</f>
        <v>0</v>
      </c>
      <c r="P18" s="141">
        <f>C18*I18</f>
        <v>62275334.940000005</v>
      </c>
      <c r="Q18" s="125">
        <f>P18*35.9/1000000000</f>
        <v>2.2356845243460004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45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forbrug'!$D$3:$D$290,Biogasanlæg!F$11)-D19</f>
        <v>0.40288562409114093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forbrug'!$D$3:$D$290,Biogasanlæg!G$11)-E19</f>
        <v>-0.11492812377400696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108.63000000000001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302</v>
      </c>
      <c r="N19" s="164">
        <f>SUM(S19:Z19)</f>
        <v>995654</v>
      </c>
      <c r="O19" s="152">
        <f>N19-C19</f>
        <v>0</v>
      </c>
      <c r="P19" s="141">
        <f>C19*I19</f>
        <v>108157894.02000001</v>
      </c>
      <c r="Q19" s="125">
        <f>P19*35.9/1000000000</f>
        <v>3.8828683953180003</v>
      </c>
      <c r="S19" s="125">
        <v>995654</v>
      </c>
    </row>
    <row r="20" spans="1:23" x14ac:dyDescent="0.45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forbrug'!$D$3:$D$290,Biogasanlæg!F$11)-D20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forbrug'!$D$3:$D$290,Biogasanlæg!G$11)-E20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45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forbrug'!$D$3:$D$290,Biogasanlæg!F$11)-D21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forbrug'!$D$3:$D$290,Biogasanlæg!G$11)-E21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45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forbrug'!$D$3:$D$290,Biogasanlæg!F$11)-D22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forbrug'!$D$3:$D$290,Biogasanlæg!G$11)-E22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304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45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forbrug'!$D$3:$D$290,Biogasanlæg!F$11)-D23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forbrug'!$D$3:$D$290,Biogasanlæg!G$11)-E23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45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forbrug'!$D$3:$D$290,Biogasanlæg!F$11)-D24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forbrug'!$D$3:$D$290,Biogasanlæg!G$11)-E24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45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forbrug'!$D$3:$D$290,Biogasanlæg!F$11)-D25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forbrug'!$D$3:$D$290,Biogasanlæg!G$11)-E25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45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forbrug'!$D$3:$D$290,Biogasanlæg!F$11)-D26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forbrug'!$D$3:$D$290,Biogasanlæg!G$11)-E26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45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forbrug'!$D$3:$D$290,Biogasanlæg!F$11)-D27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forbrug'!$D$3:$D$290,Biogasanlæg!G$11)-E27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" thickBot="1" x14ac:dyDescent="0.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forbrug'!$D$3:$D$290,Biogasanlæg!F$11)-D28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forbrug'!$D$3:$D$290,Biogasanlæg!G$11)-E28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45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461926579.07999992</v>
      </c>
      <c r="Q29" s="125">
        <f>P29*35.9/1000000000</f>
        <v>16.583164188971995</v>
      </c>
    </row>
    <row r="30" spans="1:23" x14ac:dyDescent="0.45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45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45">
      <c r="A32" s="125" t="s">
        <v>143</v>
      </c>
      <c r="B32" s="125" t="s">
        <v>144</v>
      </c>
      <c r="C32" s="125">
        <f>SUMPRODUCT(C12:C28,$I$12:$I$28)</f>
        <v>461926579.07999992</v>
      </c>
      <c r="D32" s="125">
        <f>SUMPRODUCT(D12:D28,$I$12:$I$28)</f>
        <v>610254541.11478925</v>
      </c>
      <c r="E32" s="125">
        <f>SUMPRODUCT(E12:E28,$I$12:$I$28)</f>
        <v>608830185.49291468</v>
      </c>
    </row>
    <row r="33" spans="1:15" x14ac:dyDescent="0.45">
      <c r="A33" s="125" t="s">
        <v>143</v>
      </c>
      <c r="B33" s="125" t="s">
        <v>123</v>
      </c>
      <c r="C33" s="125">
        <f>C32*[1]Energiindhold!$C$10</f>
        <v>16.583164188971999</v>
      </c>
      <c r="D33" s="125">
        <f>D32*[1]Energiindhold!$C$10</f>
        <v>21.908138026020936</v>
      </c>
      <c r="E33" s="125">
        <f>E32*[1]Energiindhold!$C$10</f>
        <v>21.857003659195641</v>
      </c>
    </row>
    <row r="34" spans="1:15" x14ac:dyDescent="0.45">
      <c r="C34" s="255"/>
    </row>
    <row r="35" spans="1:15" x14ac:dyDescent="0.45">
      <c r="A35" s="180"/>
      <c r="B35" s="180" t="s">
        <v>27</v>
      </c>
      <c r="C35" s="180" t="s">
        <v>28</v>
      </c>
    </row>
    <row r="36" spans="1:15" x14ac:dyDescent="0.45">
      <c r="A36" s="180" t="s">
        <v>159</v>
      </c>
      <c r="B36" s="181">
        <v>0.8</v>
      </c>
      <c r="C36" s="181">
        <v>0.2</v>
      </c>
    </row>
    <row r="38" spans="1:15" hidden="1" x14ac:dyDescent="0.45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45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45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45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45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45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45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45">
      <c r="A45" s="127" t="str">
        <f t="shared" si="10"/>
        <v>Bioaffald</v>
      </c>
      <c r="B45" s="127" t="s">
        <v>140</v>
      </c>
      <c r="C45" s="136" t="e">
        <f>SUMIFS('Resultater - Vestdanmark'!H$3:H$482,'Resultater - Vestdanmark'!$F$3:$F$482,$A45)/SUMIFS('Resultater - Danmark'!H$3:H$482,'Resultater - Danmark'!$F$3:$F$482,$A45)*C18</f>
        <v>#REF!</v>
      </c>
      <c r="D45" s="136" t="e">
        <f>SUMIFS('Resultater - Vestdanmark'!I$3:I$482,'Resultater - Vestdanmark'!$F$3:$F$482,$A45)/SUMIFS('Resultater - Danmark'!I$3:I$482,'Resultater - Danmark'!$F$3:$F$482,$A45)*D18</f>
        <v>#REF!</v>
      </c>
      <c r="E45" s="136" t="e">
        <f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1"/>
        <v>85.410000000000011</v>
      </c>
      <c r="I45" s="127" t="str">
        <f t="shared" si="13"/>
        <v>Bioaffald</v>
      </c>
      <c r="J45" s="127" t="s">
        <v>140</v>
      </c>
      <c r="K45" s="136" t="e">
        <f>SUMIFS('Resultater - Østdanmark'!H$3:H$482,'Resultater - Østdanmark'!$F$3:$F$482,$A45)/SUMIFS('Resultater - Danmark'!H$3:H$482,'Resultater - Danmark'!$F$3:$F$482,$A45)*C18</f>
        <v>#REF!</v>
      </c>
      <c r="L45" s="136" t="e">
        <f>SUMIFS('Resultater - Østdanmark'!I$3:I$482,'Resultater - Østdanmark'!$F$3:$F$482,$A45)/SUMIFS('Resultater - Danmark'!I$3:I$482,'Resultater - Danmark'!$F$3:$F$482,$A45)*D18</f>
        <v>#REF!</v>
      </c>
      <c r="M45" s="136" t="e">
        <f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2"/>
        <v>85.410000000000011</v>
      </c>
    </row>
    <row r="46" spans="1:15" hidden="1" x14ac:dyDescent="0.45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108.63000000000001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108.63000000000001</v>
      </c>
    </row>
    <row r="47" spans="1:15" hidden="1" x14ac:dyDescent="0.45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45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45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45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45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45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45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45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" hidden="1" thickBot="1" x14ac:dyDescent="0.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45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45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45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45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45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A10" sqref="A10:D10"/>
    </sheetView>
  </sheetViews>
  <sheetFormatPr defaultColWidth="9.15625" defaultRowHeight="14.4" x14ac:dyDescent="0.55000000000000004"/>
  <cols>
    <col min="1" max="1" width="20" style="1" customWidth="1"/>
    <col min="2" max="16384" width="9.15625" style="1"/>
  </cols>
  <sheetData>
    <row r="1" spans="1:5" x14ac:dyDescent="0.55000000000000004">
      <c r="A1" s="231" t="s">
        <v>283</v>
      </c>
    </row>
    <row r="2" spans="1:5" ht="15.6" x14ac:dyDescent="0.6">
      <c r="A2" s="229" t="s">
        <v>322</v>
      </c>
    </row>
    <row r="3" spans="1:5" x14ac:dyDescent="0.55000000000000004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55000000000000004">
      <c r="A4" s="2" t="s">
        <v>68</v>
      </c>
      <c r="B4" s="109">
        <v>0</v>
      </c>
      <c r="C4" s="110">
        <v>0</v>
      </c>
      <c r="D4" s="110">
        <v>0</v>
      </c>
    </row>
    <row r="5" spans="1:5" x14ac:dyDescent="0.55000000000000004">
      <c r="A5" s="311"/>
    </row>
    <row r="6" spans="1:5" x14ac:dyDescent="0.55000000000000004">
      <c r="A6" s="311"/>
    </row>
    <row r="7" spans="1:5" ht="15.6" x14ac:dyDescent="0.6">
      <c r="A7" s="229" t="s">
        <v>306</v>
      </c>
    </row>
    <row r="8" spans="1:5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55000000000000004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55000000000000004">
      <c r="A10" s="2" t="str">
        <f>'[1]Processer - data'!$D460</f>
        <v>Rapsolie</v>
      </c>
      <c r="B10" s="87">
        <v>0.98</v>
      </c>
      <c r="C10" s="3">
        <v>0</v>
      </c>
      <c r="D10" s="3">
        <v>0</v>
      </c>
      <c r="E10" s="1" t="s">
        <v>250</v>
      </c>
    </row>
    <row r="11" spans="1:5" x14ac:dyDescent="0.55000000000000004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55000000000000004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55000000000000004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55000000000000004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55000000000000004">
      <c r="A16" s="2" t="s">
        <v>252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55000000000000004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55000000000000004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212748.69149851578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55000000000000004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55000000000000004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55000000000000004">
      <c r="A22" s="2" t="str">
        <f t="shared" si="0"/>
        <v>Bioaffald</v>
      </c>
      <c r="B22" s="109" t="e">
        <f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3984375" defaultRowHeight="14.4" x14ac:dyDescent="0.55000000000000004"/>
  <cols>
    <col min="1" max="16384" width="8.83984375" style="92"/>
  </cols>
  <sheetData>
    <row r="1" spans="1:1" x14ac:dyDescent="0.55000000000000004">
      <c r="A1" s="6" t="s">
        <v>254</v>
      </c>
    </row>
    <row r="2" spans="1:1" x14ac:dyDescent="0.55000000000000004">
      <c r="A2" s="92" t="s">
        <v>255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228" sqref="H228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SUMIFS($G$3:$G$182,$A$3:$A$182,$A171,$B$3:$B$182,$B171)*VLOOKUP($B171,Landbrug!$B$11:$E$13,2,FALSE)*IF($C171&lt;&gt;"Økologisk",1-VLOOKUP($B171,Landbrug!$B$6:$E$8,3,FALSE),VLOOKUP($B171,Landbrug!$B$6:$E$8,3,FALSE))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SUMIFS($G$3:$G$182,$A$3:$A$182,$A171,$B$3:$B$182,$B171)*VLOOKUP($B171,Landbrug!$B$11:$E$13,3,FALSE)*IF($C171&lt;&gt;"Økologisk",1-VLOOKUP($B171,Landbrug!$B$6:$E$8,4,FALSE),VLOOKUP($B171,Landbrug!$B$6:$E$8,4,FALSE))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SUMIFS($G$3:$G$182,$A$3:$A$182,$A172,$B$3:$B$182,$B172)*VLOOKUP($B172,Landbrug!$B$11:$E$13,2,FALSE)*IF($C172&lt;&gt;"Økologisk",1-VLOOKUP($B172,Landbrug!$B$6:$E$8,3,FALSE),VLOOKUP($B172,Landbrug!$B$6:$E$8,3,FALSE))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SUMIFS($G$3:$G$182,$A$3:$A$182,$A172,$B$3:$B$182,$B172)*VLOOKUP($B172,Landbrug!$B$11:$E$13,3,FALSE)*IF($C172&lt;&gt;"Økologisk",1-VLOOKUP($B172,Landbrug!$B$6:$E$8,4,FALSE),VLOOKUP($B172,Landbrug!$B$6:$E$8,4,FALSE))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SUMIFS($G$3:$G$182,$A$3:$A$182,$A173,$B$3:$B$182,$B173)*VLOOKUP($B173,Landbrug!$B$11:$E$13,2,FALSE)*IF($C173&lt;&gt;"Økologisk",1-VLOOKUP($B173,Landbrug!$B$6:$E$8,3,FALSE),VLOOKUP($B173,Landbrug!$B$6:$E$8,3,FALSE))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SUMIFS($G$3:$G$182,$A$3:$A$182,$A173,$B$3:$B$182,$B173)*VLOOKUP($B173,Landbrug!$B$11:$E$13,3,FALSE)*IF($C173&lt;&gt;"Økologisk",1-VLOOKUP($B173,Landbrug!$B$6:$E$8,4,FALSE),VLOOKUP($B173,Landbrug!$B$6:$E$8,4,FALSE))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SUMIFS($G$3:$G$182,$A$3:$A$182,$A174,$B$3:$B$182,$B174)*VLOOKUP($B174,Landbrug!$B$11:$E$13,2,FALSE)*IF($C174&lt;&gt;"Økologisk",1-VLOOKUP($B174,Landbrug!$B$6:$E$8,3,FALSE),VLOOKUP($B174,Landbrug!$B$6:$E$8,3,FALSE))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SUMIFS($G$3:$G$182,$A$3:$A$182,$A174,$B$3:$B$182,$B174)*VLOOKUP($B174,Landbrug!$B$11:$E$13,3,FALSE)*IF($C174&lt;&gt;"Økologisk",1-VLOOKUP($B174,Landbrug!$B$6:$E$8,4,FALSE),VLOOKUP($B174,Landbrug!$B$6:$E$8,4,FALSE))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SUMIFS($G$3:$G$182,$A$3:$A$182,$A175,$B$3:$B$182,$B175)*VLOOKUP($B175,Landbrug!$B$11:$E$13,2,FALSE)*IF($C175&lt;&gt;"Økologisk",1-VLOOKUP($B175,Landbrug!$B$6:$E$8,3,FALSE),VLOOKUP($B175,Landbrug!$B$6:$E$8,3,FALSE))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SUMIFS($G$3:$G$182,$A$3:$A$182,$A175,$B$3:$B$182,$B175)*VLOOKUP($B175,Landbrug!$B$11:$E$13,3,FALSE)*IF($C175&lt;&gt;"Økologisk",1-VLOOKUP($B175,Landbrug!$B$6:$E$8,4,FALSE),VLOOKUP($B175,Landbrug!$B$6:$E$8,4,FALSE))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SUMIFS($G$3:$G$182,$A$3:$A$182,$A176,$B$3:$B$182,$B176)*VLOOKUP($B176,Landbrug!$B$11:$E$13,2,FALSE)*IF($C176&lt;&gt;"Økologisk",1-VLOOKUP($B176,Landbrug!$B$6:$E$8,3,FALSE),VLOOKUP($B176,Landbrug!$B$6:$E$8,3,FALSE))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SUMIFS($G$3:$G$182,$A$3:$A$182,$A176,$B$3:$B$182,$B176)*VLOOKUP($B176,Landbrug!$B$11:$E$13,3,FALSE)*IF($C176&lt;&gt;"Økologisk",1-VLOOKUP($B176,Landbrug!$B$6:$E$8,4,FALSE),VLOOKUP($B176,Landbrug!$B$6:$E$8,4,FALSE))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SUMIFS($G$3:$G$182,$A$3:$A$182,$A177,$B$3:$B$182,$B177)*VLOOKUP($B177,Landbrug!$B$11:$E$13,2,FALSE)*IF($C177&lt;&gt;"Økologisk",1-VLOOKUP($B177,Landbrug!$B$6:$E$8,3,FALSE),VLOOKUP($B177,Landbrug!$B$6:$E$8,3,FALSE))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SUMIFS($G$3:$G$182,$A$3:$A$182,$A177,$B$3:$B$182,$B177)*VLOOKUP($B177,Landbrug!$B$11:$E$13,3,FALSE)*IF($C177&lt;&gt;"Økologisk",1-VLOOKUP($B177,Landbrug!$B$6:$E$8,4,FALSE),VLOOKUP($B177,Landbrug!$B$6:$E$8,4,FALSE))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SUMIFS($G$3:$G$182,$A$3:$A$182,$A178,$B$3:$B$182,$B178)*VLOOKUP($B178,Landbrug!$B$11:$E$13,2,FALSE)*IF($C178&lt;&gt;"Økologisk",1-VLOOKUP($B178,Landbrug!$B$6:$E$8,3,FALSE),VLOOKUP($B178,Landbrug!$B$6:$E$8,3,FALSE))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SUMIFS($G$3:$G$182,$A$3:$A$182,$A178,$B$3:$B$182,$B178)*VLOOKUP($B178,Landbrug!$B$11:$E$13,3,FALSE)*IF($C178&lt;&gt;"Økologisk",1-VLOOKUP($B178,Landbrug!$B$6:$E$8,4,FALSE),VLOOKUP($B178,Landbrug!$B$6:$E$8,4,FALSE))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SUMIFS($G$3:$G$182,$A$3:$A$182,$A179,$B$3:$B$182,$B179)*VLOOKUP($B179,Landbrug!$B$11:$E$13,2,FALSE)*IF($C179&lt;&gt;"Økologisk",1-VLOOKUP($B179,Landbrug!$B$6:$E$8,3,FALSE),VLOOKUP($B179,Landbrug!$B$6:$E$8,3,FALSE))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SUMIFS($G$3:$G$182,$A$3:$A$182,$A179,$B$3:$B$182,$B179)*VLOOKUP($B179,Landbrug!$B$11:$E$13,3,FALSE)*IF($C179&lt;&gt;"Økologisk",1-VLOOKUP($B179,Landbrug!$B$6:$E$8,4,FALSE),VLOOKUP($B179,Landbrug!$B$6:$E$8,4,FALSE))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SUMIFS($G$3:$G$182,$A$3:$A$182,$A180,$B$3:$B$182,$B180)*VLOOKUP($B180,Landbrug!$B$11:$E$13,2,FALSE)*IF($C180&lt;&gt;"Økologisk",1-VLOOKUP($B180,Landbrug!$B$6:$E$8,3,FALSE),VLOOKUP($B180,Landbrug!$B$6:$E$8,3,FALSE))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SUMIFS($G$3:$G$182,$A$3:$A$182,$A180,$B$3:$B$182,$B180)*VLOOKUP($B180,Landbrug!$B$11:$E$13,3,FALSE)*IF($C180&lt;&gt;"Økologisk",1-VLOOKUP($B180,Landbrug!$B$6:$E$8,4,FALSE),VLOOKUP($B180,Landbrug!$B$6:$E$8,4,FALSE))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SUMIFS($G$3:$G$182,$A$3:$A$182,$A181,$B$3:$B$182,$B181)*VLOOKUP($B181,Landbrug!$B$11:$E$13,2,FALSE)*IF($C181&lt;&gt;"Økologisk",1-VLOOKUP($B181,Landbrug!$B$6:$E$8,3,FALSE),VLOOKUP($B181,Landbrug!$B$6:$E$8,3,FALSE))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SUMIFS($G$3:$G$182,$A$3:$A$182,$A181,$B$3:$B$182,$B181)*VLOOKUP($B181,Landbrug!$B$11:$E$13,3,FALSE)*IF($C181&lt;&gt;"Økologisk",1-VLOOKUP($B181,Landbrug!$B$6:$E$8,4,FALSE),VLOOKUP($B181,Landbrug!$B$6:$E$8,4,FALSE))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SUMIFS($G$3:$G$182,$A$3:$A$182,$A182,$B$3:$B$182,$B182)*VLOOKUP($B182,Landbrug!$B$11:$E$13,2,FALSE)*IF($C182&lt;&gt;"Økologisk",1-VLOOKUP($B182,Landbrug!$B$6:$E$8,3,FALSE),VLOOKUP($B182,Landbrug!$B$6:$E$8,3,FALSE))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SUMIFS($G$3:$G$182,$A$3:$A$182,$A182,$B$3:$B$182,$B182)*VLOOKUP($B182,Landbrug!$B$11:$E$13,3,FALSE)*IF($C182&lt;&gt;"Økologisk",1-VLOOKUP($B182,Landbrug!$B$6:$E$8,4,FALSE),VLOOKUP($B182,Landbrug!$B$6:$E$8,4,FALSE))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55000000000000004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55000000000000004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55000000000000004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55000000000000004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55000000000000004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55000000000000004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55000000000000004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55000000000000004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55000000000000004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55000000000000004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55000000000000004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55000000000000004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55000000000000004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55000000000000004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55000000000000004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55000000000000004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55000000000000004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55000000000000004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55000000000000004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55000000000000004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55000000000000004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55000000000000004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55000000000000004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55000000000000004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55000000000000004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55000000000000004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55000000000000004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55000000000000004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55000000000000004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55000000000000004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55000000000000004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55000000000000004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55000000000000004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55000000000000004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55000000000000004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55000000000000004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55000000000000004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55000000000000004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55000000000000004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55000000000000004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55000000000000004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55000000000000004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55000000000000004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55000000000000004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55000000000000004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323</v>
      </c>
      <c r="G1" t="s">
        <v>226</v>
      </c>
      <c r="I1" s="156" t="s">
        <v>191</v>
      </c>
      <c r="J1" s="156"/>
      <c r="K1" s="156"/>
      <c r="L1" s="156"/>
      <c r="M1" s="156"/>
    </row>
    <row r="2" spans="1:13" x14ac:dyDescent="0.55000000000000004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55000000000000004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55000000000000004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55000000000000004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55000000000000004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55000000000000004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55000000000000004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55000000000000004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55000000000000004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55000000000000004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55000000000000004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55000000000000004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55000000000000004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55000000000000004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55000000000000004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55000000000000004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55000000000000004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55000000000000004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55000000000000004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55000000000000004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55000000000000004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55000000000000004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55000000000000004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55000000000000004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55000000000000004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55000000000000004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55000000000000004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55000000000000004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55000000000000004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55000000000000004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55000000000000004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55000000000000004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55000000000000004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55000000000000004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55000000000000004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55000000000000004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55000000000000004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55000000000000004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55000000000000004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55000000000000004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55000000000000004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55000000000000004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55000000000000004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55000000000000004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55000000000000004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55000000000000004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55000000000000004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55000000000000004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55000000000000004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55000000000000004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55000000000000004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55000000000000004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55000000000000004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55000000000000004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55000000000000004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55000000000000004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55000000000000004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55000000000000004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55000000000000004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55000000000000004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55000000000000004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55000000000000004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55000000000000004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55000000000000004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55000000000000004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55000000000000004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55000000000000004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55000000000000004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55000000000000004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55000000000000004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55000000000000004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55000000000000004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55000000000000004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55000000000000004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55000000000000004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55000000000000004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55000000000000004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55000000000000004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55000000000000004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55000000000000004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55000000000000004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55000000000000004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55000000000000004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55000000000000004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55000000000000004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55000000000000004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55000000000000004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55000000000000004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55000000000000004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55000000000000004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55000000000000004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55000000000000004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55000000000000004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55000000000000004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55000000000000004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55000000000000004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55000000000000004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55000000000000004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55000000000000004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55000000000000004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55000000000000004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55000000000000004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55000000000000004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55000000000000004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55000000000000004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55000000000000004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55000000000000004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55000000000000004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55000000000000004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55000000000000004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55000000000000004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55000000000000004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55000000000000004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55000000000000004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55000000000000004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55000000000000004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55000000000000004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55000000000000004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55000000000000004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55000000000000004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55000000000000004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55000000000000004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55000000000000004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55000000000000004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55000000000000004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55000000000000004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55000000000000004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55000000000000004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3102.9355833262225</v>
      </c>
      <c r="F279" s="171">
        <v>1</v>
      </c>
    </row>
    <row r="280" spans="1:7" x14ac:dyDescent="0.55000000000000004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55000000000000004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55000000000000004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55000000000000004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55000000000000004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55000000000000004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152043.84358298479</v>
      </c>
      <c r="F285" s="171">
        <v>1</v>
      </c>
      <c r="G285" s="171">
        <v>1</v>
      </c>
    </row>
    <row r="286" spans="1:7" x14ac:dyDescent="0.55000000000000004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55000000000000004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55000000000000004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55000000000000004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55000000000000004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55000000000000004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1238.8744472557355</v>
      </c>
      <c r="F291" s="171">
        <v>1</v>
      </c>
    </row>
    <row r="292" spans="1:7" x14ac:dyDescent="0.55000000000000004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55000000000000004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55000000000000004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55000000000000004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55000000000000004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55000000000000004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60704.847915530983</v>
      </c>
      <c r="F297" s="171">
        <v>1</v>
      </c>
      <c r="G297" s="171">
        <v>1</v>
      </c>
    </row>
    <row r="298" spans="1:7" x14ac:dyDescent="0.55000000000000004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55000000000000004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55000000000000004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55000000000000004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55000000000000004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55000000000000004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55000000000000004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55000000000000004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55000000000000004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55000000000000004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55000000000000004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55000000000000004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55000000000000004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55000000000000004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55000000000000004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55000000000000004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55000000000000004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55000000000000004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55000000000000004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55000000000000004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55000000000000004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55000000000000004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55000000000000004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55000000000000004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55000000000000004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55000000000000004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55000000000000004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55000000000000004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55000000000000004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55000000000000004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55000000000000004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55000000000000004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55000000000000004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55000000000000004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55000000000000004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55000000000000004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55000000000000004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55000000000000004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55000000000000004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55000000000000004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55000000000000004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55000000000000004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55000000000000004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55000000000000004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55000000000000004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55000000000000004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55000000000000004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55000000000000004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55000000000000004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55000000000000004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55000000000000004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55000000000000004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55000000000000004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55000000000000004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55000000000000004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55000000000000004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55000000000000004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55000000000000004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55000000000000004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55000000000000004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55000000000000004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55000000000000004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55000000000000004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55000000000000004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55000000000000004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55000000000000004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2024929.6339054219</v>
      </c>
    </row>
    <row r="364" spans="1:5" x14ac:dyDescent="0.55000000000000004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3261.5941520826309</v>
      </c>
    </row>
    <row r="365" spans="1:5" x14ac:dyDescent="0.55000000000000004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55000000000000004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55000000000000004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55000000000000004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55000000000000004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55000000000000004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55000000000000004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55000000000000004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55000000000000004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55000000000000004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55000000000000004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55000000000000004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55000000000000004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55000000000000004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55000000000000004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55000000000000004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55000000000000004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143919.86867046604</v>
      </c>
    </row>
    <row r="382" spans="1:5" x14ac:dyDescent="0.55000000000000004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273.74439328952366</v>
      </c>
    </row>
    <row r="383" spans="1:5" x14ac:dyDescent="0.55000000000000004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55000000000000004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55000000000000004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55000000000000004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55000000000000004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55000000000000004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55000000000000004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55000000000000004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55000000000000004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55000000000000004">
      <c r="A392" t="s">
        <v>240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55000000000000004">
      <c r="A393" t="s">
        <v>240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55000000000000004">
      <c r="A394" t="s">
        <v>240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55000000000000004">
      <c r="A395" t="s">
        <v>240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55000000000000004">
      <c r="A396" t="s">
        <v>240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55000000000000004">
      <c r="A397" t="s">
        <v>240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55000000000000004">
      <c r="A398" t="s">
        <v>324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55000000000000004">
      <c r="A399" s="171" t="s">
        <v>324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55000000000000004">
      <c r="A400" s="171" t="s">
        <v>324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55000000000000004">
      <c r="A401" s="171" t="s">
        <v>324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55000000000000004">
      <c r="A402" s="171" t="s">
        <v>324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55000000000000004">
      <c r="A403" s="171" t="s">
        <v>324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55000000000000004">
      <c r="A404" s="171" t="s">
        <v>121</v>
      </c>
      <c r="B404" s="171" t="s">
        <v>23</v>
      </c>
      <c r="C404" s="171" t="s">
        <v>320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55000000000000004">
      <c r="A405" s="171" t="s">
        <v>121</v>
      </c>
      <c r="B405" s="171" t="s">
        <v>23</v>
      </c>
      <c r="C405" s="171" t="s">
        <v>321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55000000000000004">
      <c r="A406" s="171" t="s">
        <v>121</v>
      </c>
      <c r="B406" s="171" t="s">
        <v>23</v>
      </c>
      <c r="C406" s="171" t="s">
        <v>320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55000000000000004">
      <c r="A407" s="171" t="s">
        <v>121</v>
      </c>
      <c r="B407" s="171" t="s">
        <v>23</v>
      </c>
      <c r="C407" s="171" t="s">
        <v>321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55000000000000004">
      <c r="A408" s="171" t="s">
        <v>121</v>
      </c>
      <c r="B408" s="171" t="s">
        <v>23</v>
      </c>
      <c r="C408" s="171" t="s">
        <v>320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55000000000000004">
      <c r="A409" s="171" t="s">
        <v>121</v>
      </c>
      <c r="B409" s="171" t="s">
        <v>23</v>
      </c>
      <c r="C409" s="171" t="s">
        <v>321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55000000000000004">
      <c r="A410" s="171" t="s">
        <v>121</v>
      </c>
      <c r="B410" s="171" t="s">
        <v>24</v>
      </c>
      <c r="C410" s="171" t="s">
        <v>320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55000000000000004">
      <c r="A411" s="171" t="s">
        <v>121</v>
      </c>
      <c r="B411" s="171" t="s">
        <v>24</v>
      </c>
      <c r="C411" s="171" t="s">
        <v>321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55000000000000004">
      <c r="A412" s="171" t="s">
        <v>121</v>
      </c>
      <c r="B412" s="171" t="s">
        <v>24</v>
      </c>
      <c r="C412" s="171" t="s">
        <v>320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55000000000000004">
      <c r="A413" s="171" t="s">
        <v>121</v>
      </c>
      <c r="B413" s="171" t="s">
        <v>24</v>
      </c>
      <c r="C413" s="171" t="s">
        <v>321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55000000000000004">
      <c r="A414" s="171" t="s">
        <v>121</v>
      </c>
      <c r="B414" s="171" t="s">
        <v>24</v>
      </c>
      <c r="C414" s="171" t="s">
        <v>320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55000000000000004">
      <c r="A415" s="171" t="s">
        <v>121</v>
      </c>
      <c r="B415" s="171" t="s">
        <v>24</v>
      </c>
      <c r="C415" s="171" t="s">
        <v>321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4.4" x14ac:dyDescent="0.55000000000000004"/>
  <sheetData>
    <row r="1" spans="1:8" x14ac:dyDescent="0.55000000000000004">
      <c r="D1" t="s">
        <v>77</v>
      </c>
      <c r="E1" t="s">
        <v>166</v>
      </c>
      <c r="F1" t="s">
        <v>193</v>
      </c>
      <c r="G1" t="s">
        <v>167</v>
      </c>
      <c r="H1" t="s">
        <v>231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55000000000000004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55000000000000004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andet'!A14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77790350.583637342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56819696.139017135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56454701.7391527</v>
      </c>
      <c r="L445" s="127"/>
      <c r="M445" s="125"/>
    </row>
    <row r="446" spans="1:13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4.7" thickBot="1" x14ac:dyDescent="0.6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35950838.793040685</v>
      </c>
    </row>
    <row r="454" spans="1:13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16199437.071243376</v>
      </c>
    </row>
    <row r="455" spans="1:13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22831.159064578416</v>
      </c>
    </row>
    <row r="456" spans="1:13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3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Vestdanmark'!H$3:H$482,'Resultater - Vestdanmark'!$F$3:$F$482,"Gødning",'Resultater - Vestdanmark'!$A$3:$A$482,"&lt;&gt;Gødning")-SUM(H453:H457)</f>
        <v>#REF!</v>
      </c>
      <c r="I458" s="287" t="e">
        <f>-SUMIFS('Resultater - Vestdanmark'!I$3:I$482,'Resultater - Vestdanmark'!$F$3:$F$482,"Gødning",'Resultater - Vestdanmark'!$A$3:$A$482,"&lt;&gt;Gødning")-SUM(I453:I457)</f>
        <v>#REF!</v>
      </c>
      <c r="J458" s="288" t="e">
        <f>-SUMIFS('Resultater - Vestdanmark'!J$3:J$482,'Resultater - Vestdanmark'!$F$3:$F$482,"Gødning",'Resultater - Vestdanmark'!$A$3:$A$482,"&lt;&gt;Gødning")-SUM(J453:J457)</f>
        <v>#REF!</v>
      </c>
    </row>
    <row r="459" spans="1:13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3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0.10860274541641778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55000000000000004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SUMIF($F$3:$F$472,"Bioaffald",H3:H472)</f>
        <v>#REF!</v>
      </c>
      <c r="N4" s="171" t="e">
        <f>SUMIF($F$3:$F$472,"Bioaffald",I3:I472)</f>
        <v>#REF!</v>
      </c>
      <c r="O4" s="171" t="e">
        <f>SUMIF($F$3:$F$472,"Bioaffald",J3:J472)</f>
        <v>#REF!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30367543.436362661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22042207.70098285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22088264.42084733</v>
      </c>
    </row>
    <row r="446" spans="1:10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55000000000000004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5209172.8271184387</v>
      </c>
    </row>
    <row r="454" spans="1:10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1151358.9493637283</v>
      </c>
    </row>
    <row r="455" spans="1:10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1916.2107530266658</v>
      </c>
    </row>
    <row r="456" spans="1:10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0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Østdanmark'!H$3:H$482,'Resultater - Østdanmark'!$F$3:$F$482,"Gødning",'Resultater - Østdanmark'!$A$3:$A$482,"&lt;&gt;Gødning")-SUM(H453:H457)</f>
        <v>#REF!</v>
      </c>
      <c r="I458" s="287" t="e">
        <f>-SUMIFS('Resultater - Østdanmark'!I$3:I$482,'Resultater - Østdanmark'!$F$3:$F$482,"Gødning",'Resultater - Østdanmark'!$A$3:$A$482,"&lt;&gt;Gødning")-SUM(I453:I457)</f>
        <v>#REF!</v>
      </c>
      <c r="J458" s="288" t="e">
        <f>-SUMIFS('Resultater - Østdanmark'!J$3:J$482,'Resultater - Østdanmark'!$F$3:$F$482,"Gødning",'Resultater - Østdanmark'!$A$3:$A$482,"&lt;&gt;Gødning")-SUM(J453:J457)</f>
        <v>#REF!</v>
      </c>
    </row>
    <row r="459" spans="1:10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4.3360605653950737E-2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4.7" thickBot="1" x14ac:dyDescent="0.6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zoomScale="80" zoomScaleNormal="80" workbookViewId="0">
      <selection activeCell="H3" sqref="H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>'Resultater - Vestdanmark'!H4+'Resultater - Østdanmark'!H4</f>
        <v>#REF!</v>
      </c>
      <c r="I4" s="281" t="e">
        <f>'Resultater - Vestdanmark'!I4+'Resultater - Østdanmark'!I4</f>
        <v>#REF!</v>
      </c>
      <c r="J4" s="282" t="e">
        <f>'Resultater - Vestdanmark'!J4+'Resultater - Østdanmark'!J4</f>
        <v>#REF!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hidden="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hidden="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hidden="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hidden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hidden="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hidden="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hidden="1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hidden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hidden="1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hidden="1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hidden="1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hidden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hidden="1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hidden="1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hidden="1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hidden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hidden="1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hidden="1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hidden="1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hidden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hidden="1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hidden="1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hidden="1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hidden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hidden="1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hidden="1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hidden="1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hidden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hidden="1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hidden="1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hidden="1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hidden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hidden="1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hidden="1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hidden="1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hidden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hidden="1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hidden="1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hidden="1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hidden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hidden="1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hidden="1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hidden="1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hidden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hidden="1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hidden="1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hidden="1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hidden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hidden="1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hidden="1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hidden="1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hidden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hidden="1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hidden="1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hidden="1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hidden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hidden="1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hidden="1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hidden="1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hidden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hidden="1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hidden="1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hidden="1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55000000000000004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55000000000000004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55000000000000004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55000000000000004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55000000000000004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55000000000000004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55000000000000004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55000000000000004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55000000000000004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55000000000000004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55000000000000004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55000000000000004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55000000000000004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55000000000000004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55000000000000004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55000000000000004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55000000000000004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55000000000000004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55000000000000004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55000000000000004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55000000000000004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55000000000000004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55000000000000004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55000000000000004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55000000000000004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55000000000000004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55000000000000004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55000000000000004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55000000000000004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55000000000000004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55000000000000004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55000000000000004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55000000000000004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55000000000000004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55000000000000004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55000000000000004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55000000000000004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55000000000000004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55000000000000004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55000000000000004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55000000000000004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55000000000000004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55000000000000004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55000000000000004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55000000000000004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55000000000000004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hidden="1" x14ac:dyDescent="0.55000000000000004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hidden="1" x14ac:dyDescent="0.55000000000000004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hidden="1" x14ac:dyDescent="0.55000000000000004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hidden="1" x14ac:dyDescent="0.55000000000000004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hidden="1" x14ac:dyDescent="0.55000000000000004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hidden="1" x14ac:dyDescent="0.55000000000000004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hidden="1" x14ac:dyDescent="0.55000000000000004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hidden="1" x14ac:dyDescent="0.55000000000000004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hidden="1" x14ac:dyDescent="0.55000000000000004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hidden="1" x14ac:dyDescent="0.55000000000000004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hidden="1" x14ac:dyDescent="0.55000000000000004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hidden="1" x14ac:dyDescent="0.55000000000000004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hidden="1" x14ac:dyDescent="0.55000000000000004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hidden="1" x14ac:dyDescent="0.55000000000000004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hidden="1" x14ac:dyDescent="0.55000000000000004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hidden="1" x14ac:dyDescent="0.55000000000000004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hidden="1" x14ac:dyDescent="0.55000000000000004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hidden="1" x14ac:dyDescent="0.55000000000000004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hidden="1" x14ac:dyDescent="0.55000000000000004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hidden="1" x14ac:dyDescent="0.55000000000000004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hidden="1" x14ac:dyDescent="0.55000000000000004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hidden="1" x14ac:dyDescent="0.55000000000000004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hidden="1" x14ac:dyDescent="0.55000000000000004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hidden="1" x14ac:dyDescent="0.55000000000000004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hidden="1" x14ac:dyDescent="0.55000000000000004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hidden="1" x14ac:dyDescent="0.55000000000000004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hidden="1" x14ac:dyDescent="0.55000000000000004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hidden="1" x14ac:dyDescent="0.55000000000000004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hidden="1" x14ac:dyDescent="0.55000000000000004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hidden="1" x14ac:dyDescent="0.55000000000000004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hidden="1" x14ac:dyDescent="0.55000000000000004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hidden="1" x14ac:dyDescent="0.55000000000000004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hidden="1" x14ac:dyDescent="0.55000000000000004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hidden="1" x14ac:dyDescent="0.55000000000000004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hidden="1" x14ac:dyDescent="0.55000000000000004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hidden="1" x14ac:dyDescent="0.55000000000000004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hidden="1" x14ac:dyDescent="0.55000000000000004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hidden="1" x14ac:dyDescent="0.55000000000000004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hidden="1" x14ac:dyDescent="0.55000000000000004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hidden="1" x14ac:dyDescent="0.55000000000000004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hidden="1" x14ac:dyDescent="0.55000000000000004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hidden="1" x14ac:dyDescent="0.55000000000000004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55000000000000004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55000000000000004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55000000000000004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55000000000000004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55000000000000004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55000000000000004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hidden="1" x14ac:dyDescent="0.55000000000000004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hidden="1" x14ac:dyDescent="0.55000000000000004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hidden="1" x14ac:dyDescent="0.55000000000000004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hidden="1" x14ac:dyDescent="0.55000000000000004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hidden="1" x14ac:dyDescent="0.55000000000000004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hidden="1" x14ac:dyDescent="0.55000000000000004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hidden="1" x14ac:dyDescent="0.55000000000000004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hidden="1" x14ac:dyDescent="0.55000000000000004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hidden="1" x14ac:dyDescent="0.55000000000000004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hidden="1" x14ac:dyDescent="0.55000000000000004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hidden="1" x14ac:dyDescent="0.55000000000000004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hidden="1" x14ac:dyDescent="0.55000000000000004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hidden="1" x14ac:dyDescent="0.55000000000000004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hidden="1" x14ac:dyDescent="0.55000000000000004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hidden="1" x14ac:dyDescent="0.55000000000000004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hidden="1" x14ac:dyDescent="0.55000000000000004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hidden="1" x14ac:dyDescent="0.55000000000000004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hidden="1" x14ac:dyDescent="0.55000000000000004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hidden="1" x14ac:dyDescent="0.55000000000000004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hidden="1" x14ac:dyDescent="0.55000000000000004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hidden="1" x14ac:dyDescent="0.55000000000000004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hidden="1" x14ac:dyDescent="0.55000000000000004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hidden="1" x14ac:dyDescent="0.55000000000000004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hidden="1" x14ac:dyDescent="0.55000000000000004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hidden="1" x14ac:dyDescent="0.55000000000000004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hidden="1" x14ac:dyDescent="0.55000000000000004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hidden="1" x14ac:dyDescent="0.55000000000000004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hidden="1" x14ac:dyDescent="0.55000000000000004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hidden="1" x14ac:dyDescent="0.55000000000000004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hidden="1" x14ac:dyDescent="0.55000000000000004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hidden="1" x14ac:dyDescent="0.55000000000000004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hidden="1" x14ac:dyDescent="0.55000000000000004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hidden="1" x14ac:dyDescent="0.55000000000000004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hidden="1" x14ac:dyDescent="0.55000000000000004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hidden="1" x14ac:dyDescent="0.55000000000000004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hidden="1" x14ac:dyDescent="0.55000000000000004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hidden="1" x14ac:dyDescent="0.55000000000000004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hidden="1" x14ac:dyDescent="0.55000000000000004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hidden="1" x14ac:dyDescent="0.55000000000000004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hidden="1" x14ac:dyDescent="0.55000000000000004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hidden="1" x14ac:dyDescent="0.55000000000000004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hidden="1" x14ac:dyDescent="0.55000000000000004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hidden="1" x14ac:dyDescent="0.55000000000000004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hidden="1" x14ac:dyDescent="0.55000000000000004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hidden="1" x14ac:dyDescent="0.55000000000000004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hidden="1" x14ac:dyDescent="0.55000000000000004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hidden="1" x14ac:dyDescent="0.55000000000000004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hidden="1" x14ac:dyDescent="0.55000000000000004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hidden="1" x14ac:dyDescent="0.55000000000000004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hidden="1" x14ac:dyDescent="0.55000000000000004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hidden="1" x14ac:dyDescent="0.55000000000000004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hidden="1" x14ac:dyDescent="0.55000000000000004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hidden="1" x14ac:dyDescent="0.55000000000000004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hidden="1" x14ac:dyDescent="0.55000000000000004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hidden="1" x14ac:dyDescent="0.55000000000000004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hidden="1" x14ac:dyDescent="0.55000000000000004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hidden="1" x14ac:dyDescent="0.55000000000000004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hidden="1" x14ac:dyDescent="0.55000000000000004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hidden="1" x14ac:dyDescent="0.55000000000000004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hidden="1" x14ac:dyDescent="0.55000000000000004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hidden="1" x14ac:dyDescent="0.55000000000000004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hidden="1" x14ac:dyDescent="0.55000000000000004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hidden="1" x14ac:dyDescent="0.55000000000000004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hidden="1" x14ac:dyDescent="0.55000000000000004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hidden="1" x14ac:dyDescent="0.55000000000000004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hidden="1" x14ac:dyDescent="0.55000000000000004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hidden="1" x14ac:dyDescent="0.55000000000000004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hidden="1" x14ac:dyDescent="0.55000000000000004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hidden="1" x14ac:dyDescent="0.55000000000000004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hidden="1" x14ac:dyDescent="0.55000000000000004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hidden="1" x14ac:dyDescent="0.55000000000000004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hidden="1" x14ac:dyDescent="0.55000000000000004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hidden="1" x14ac:dyDescent="0.55000000000000004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hidden="1" x14ac:dyDescent="0.55000000000000004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hidden="1" x14ac:dyDescent="0.55000000000000004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hidden="1" x14ac:dyDescent="0.55000000000000004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hidden="1" x14ac:dyDescent="0.55000000000000004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hidden="1" x14ac:dyDescent="0.55000000000000004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hidden="1" x14ac:dyDescent="0.55000000000000004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hidden="1" x14ac:dyDescent="0.55000000000000004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hidden="1" x14ac:dyDescent="0.55000000000000004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hidden="1" x14ac:dyDescent="0.55000000000000004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hidden="1" x14ac:dyDescent="0.55000000000000004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hidden="1" x14ac:dyDescent="0.55000000000000004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hidden="1" x14ac:dyDescent="0.55000000000000004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hidden="1" x14ac:dyDescent="0.55000000000000004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hidden="1" x14ac:dyDescent="0.55000000000000004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hidden="1" x14ac:dyDescent="0.55000000000000004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hidden="1" x14ac:dyDescent="0.55000000000000004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hidden="1" x14ac:dyDescent="0.55000000000000004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hidden="1" x14ac:dyDescent="0.55000000000000004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hidden="1" x14ac:dyDescent="0.55000000000000004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hidden="1" x14ac:dyDescent="0.55000000000000004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hidden="1" x14ac:dyDescent="0.55000000000000004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hidden="1" x14ac:dyDescent="0.55000000000000004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hidden="1" x14ac:dyDescent="0.55000000000000004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hidden="1" x14ac:dyDescent="0.55000000000000004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hidden="1" x14ac:dyDescent="0.55000000000000004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hidden="1" x14ac:dyDescent="0.55000000000000004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hidden="1" x14ac:dyDescent="0.55000000000000004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hidden="1" x14ac:dyDescent="0.55000000000000004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hidden="1" x14ac:dyDescent="0.55000000000000004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hidden="1" x14ac:dyDescent="0.55000000000000004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hidden="1" x14ac:dyDescent="0.55000000000000004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hidden="1" x14ac:dyDescent="0.55000000000000004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hidden="1" x14ac:dyDescent="0.55000000000000004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hidden="1" x14ac:dyDescent="0.55000000000000004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hidden="1" x14ac:dyDescent="0.55000000000000004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hidden="1" x14ac:dyDescent="0.55000000000000004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hidden="1" x14ac:dyDescent="0.55000000000000004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hidden="1" x14ac:dyDescent="0.55000000000000004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hidden="1" x14ac:dyDescent="0.55000000000000004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hidden="1" x14ac:dyDescent="0.55000000000000004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hidden="1" x14ac:dyDescent="0.55000000000000004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hidden="1" x14ac:dyDescent="0.55000000000000004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hidden="1" x14ac:dyDescent="0.55000000000000004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hidden="1" x14ac:dyDescent="0.55000000000000004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hidden="1" x14ac:dyDescent="0.55000000000000004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hidden="1" x14ac:dyDescent="0.55000000000000004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hidden="1" x14ac:dyDescent="0.55000000000000004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hidden="1" x14ac:dyDescent="0.55000000000000004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hidden="1" x14ac:dyDescent="0.55000000000000004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hidden="1" x14ac:dyDescent="0.55000000000000004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hidden="1" x14ac:dyDescent="0.55000000000000004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hidden="1" x14ac:dyDescent="0.55000000000000004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hidden="1" x14ac:dyDescent="0.55000000000000004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hidden="1" x14ac:dyDescent="0.55000000000000004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hidden="1" x14ac:dyDescent="0.55000000000000004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hidden="1" x14ac:dyDescent="0.55000000000000004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hidden="1" x14ac:dyDescent="0.55000000000000004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hidden="1" x14ac:dyDescent="0.55000000000000004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hidden="1" x14ac:dyDescent="0.55000000000000004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hidden="1" x14ac:dyDescent="0.55000000000000004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hidden="1" x14ac:dyDescent="0.55000000000000004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hidden="1" x14ac:dyDescent="0.55000000000000004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hidden="1" x14ac:dyDescent="0.55000000000000004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hidden="1" x14ac:dyDescent="0.55000000000000004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hidden="1" x14ac:dyDescent="0.55000000000000004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hidden="1" x14ac:dyDescent="0.55000000000000004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hidden="1" x14ac:dyDescent="0.55000000000000004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hidden="1" x14ac:dyDescent="0.55000000000000004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hidden="1" x14ac:dyDescent="0.55000000000000004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hidden="1" x14ac:dyDescent="0.55000000000000004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hidden="1" x14ac:dyDescent="0.55000000000000004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hidden="1" x14ac:dyDescent="0.55000000000000004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hidden="1" x14ac:dyDescent="0.55000000000000004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hidden="1" x14ac:dyDescent="0.55000000000000004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hidden="1" x14ac:dyDescent="0.55000000000000004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hidden="1" x14ac:dyDescent="0.55000000000000004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hidden="1" x14ac:dyDescent="0.55000000000000004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hidden="1" x14ac:dyDescent="0.55000000000000004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hidden="1" x14ac:dyDescent="0.55000000000000004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hidden="1" x14ac:dyDescent="0.55000000000000004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hidden="1" x14ac:dyDescent="0.55000000000000004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hidden="1" x14ac:dyDescent="0.55000000000000004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hidden="1" x14ac:dyDescent="0.55000000000000004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hidden="1" x14ac:dyDescent="0.55000000000000004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hidden="1" x14ac:dyDescent="0.55000000000000004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hidden="1" x14ac:dyDescent="0.55000000000000004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hidden="1" x14ac:dyDescent="0.55000000000000004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hidden="1" x14ac:dyDescent="0.55000000000000004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hidden="1" x14ac:dyDescent="0.55000000000000004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hidden="1" x14ac:dyDescent="0.55000000000000004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hidden="1" x14ac:dyDescent="0.55000000000000004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hidden="1" x14ac:dyDescent="0.55000000000000004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hidden="1" x14ac:dyDescent="0.55000000000000004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hidden="1" x14ac:dyDescent="0.55000000000000004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hidden="1" x14ac:dyDescent="0.55000000000000004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hidden="1" x14ac:dyDescent="0.55000000000000004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hidden="1" x14ac:dyDescent="0.55000000000000004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hidden="1" x14ac:dyDescent="0.55000000000000004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hidden="1" x14ac:dyDescent="0.55000000000000004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hidden="1" x14ac:dyDescent="0.55000000000000004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hidden="1" x14ac:dyDescent="0.55000000000000004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hidden="1" x14ac:dyDescent="0.55000000000000004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hidden="1" x14ac:dyDescent="0.55000000000000004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hidden="1" x14ac:dyDescent="0.55000000000000004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hidden="1" x14ac:dyDescent="0.55000000000000004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hidden="1" x14ac:dyDescent="0.55000000000000004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hidden="1" x14ac:dyDescent="0.55000000000000004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hidden="1" x14ac:dyDescent="0.55000000000000004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hidden="1" x14ac:dyDescent="0.55000000000000004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hidden="1" x14ac:dyDescent="0.55000000000000004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hidden="1" x14ac:dyDescent="0.55000000000000004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hidden="1" x14ac:dyDescent="0.55000000000000004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hidden="1" x14ac:dyDescent="0.55000000000000004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hidden="1" x14ac:dyDescent="0.55000000000000004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hidden="1" x14ac:dyDescent="0.55000000000000004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hidden="1" x14ac:dyDescent="0.55000000000000004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hidden="1" x14ac:dyDescent="0.55000000000000004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hidden="1" x14ac:dyDescent="0.55000000000000004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hidden="1" x14ac:dyDescent="0.55000000000000004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hidden="1" x14ac:dyDescent="0.55000000000000004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hidden="1" x14ac:dyDescent="0.55000000000000004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hidden="1" x14ac:dyDescent="0.55000000000000004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hidden="1" x14ac:dyDescent="0.55000000000000004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hidden="1" x14ac:dyDescent="0.55000000000000004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hidden="1" x14ac:dyDescent="0.55000000000000004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hidden="1" x14ac:dyDescent="0.55000000000000004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hidden="1" x14ac:dyDescent="0.55000000000000004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hidden="1" x14ac:dyDescent="0.55000000000000004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hidden="1" x14ac:dyDescent="0.55000000000000004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hidden="1" x14ac:dyDescent="0.55000000000000004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hidden="1" x14ac:dyDescent="0.55000000000000004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hidden="1" x14ac:dyDescent="0.55000000000000004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hidden="1" x14ac:dyDescent="0.55000000000000004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hidden="1" x14ac:dyDescent="0.55000000000000004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hidden="1" x14ac:dyDescent="0.55000000000000004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hidden="1" x14ac:dyDescent="0.55000000000000004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hidden="1" x14ac:dyDescent="0.55000000000000004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hidden="1" x14ac:dyDescent="0.55000000000000004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hidden="1" x14ac:dyDescent="0.55000000000000004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hidden="1" x14ac:dyDescent="0.55000000000000004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hidden="1" x14ac:dyDescent="0.55000000000000004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hidden="1" x14ac:dyDescent="0.55000000000000004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hidden="1" x14ac:dyDescent="0.55000000000000004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hidden="1" x14ac:dyDescent="0.55000000000000004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hidden="1" x14ac:dyDescent="0.55000000000000004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hidden="1" x14ac:dyDescent="0.55000000000000004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hidden="1" x14ac:dyDescent="0.55000000000000004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hidden="1" x14ac:dyDescent="0.55000000000000004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hidden="1" x14ac:dyDescent="0.55000000000000004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hidden="1" x14ac:dyDescent="0.55000000000000004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hidden="1" x14ac:dyDescent="0.55000000000000004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hidden="1" x14ac:dyDescent="0.55000000000000004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hidden="1" x14ac:dyDescent="0.55000000000000004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hidden="1" x14ac:dyDescent="0.55000000000000004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hidden="1" x14ac:dyDescent="0.55000000000000004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hidden="1" x14ac:dyDescent="0.55000000000000004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hidden="1" x14ac:dyDescent="0.55000000000000004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hidden="1" x14ac:dyDescent="0.55000000000000004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hidden="1" x14ac:dyDescent="0.55000000000000004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hidden="1" x14ac:dyDescent="0.55000000000000004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hidden="1" x14ac:dyDescent="0.55000000000000004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55000000000000004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55000000000000004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55000000000000004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55000000000000004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55000000000000004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55000000000000004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55000000000000004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55000000000000004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55000000000000004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55000000000000004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55000000000000004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55000000000000004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55000000000000004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55000000000000004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55000000000000004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4.7" thickBot="1" x14ac:dyDescent="0.6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55000000000000004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55000000000000004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55000000000000004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55000000000000004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55000000000000004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55000000000000004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55000000000000004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55000000000000004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55000000000000004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55000000000000004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55000000000000004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55000000000000004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55000000000000004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55000000000000004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55000000000000004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55000000000000004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55000000000000004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55000000000000004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55000000000000004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55000000000000004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55000000000000004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55000000000000004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55000000000000004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55000000000000004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55000000000000004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55000000000000004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55000000000000004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>'Resultater - Vestdanmark'!H444+'Resultater - Østdanmark'!H444</f>
        <v>#REF!</v>
      </c>
      <c r="I444" s="281" t="e">
        <f>'Resultater - Vestdanmark'!I444+'Resultater - Østdanmark'!I444</f>
        <v>#REF!</v>
      </c>
      <c r="J444" s="282" t="e">
        <f>'Resultater - Vestdanmark'!J444+'Resultater - Østdanmark'!J444</f>
        <v>#REF!</v>
      </c>
    </row>
    <row r="445" spans="1:10" x14ac:dyDescent="0.55000000000000004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108157894.02000001</v>
      </c>
      <c r="I445" s="281">
        <f>'Resultater - Vestdanmark'!I445+'Resultater - Østdanmark'!I445</f>
        <v>78861903.839999989</v>
      </c>
      <c r="J445" s="282">
        <f>'Resultater - Vestdanmark'!J445+'Resultater - Østdanmark'!J445</f>
        <v>78542966.160000026</v>
      </c>
    </row>
    <row r="446" spans="1:10" x14ac:dyDescent="0.55000000000000004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55000000000000004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55000000000000004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55000000000000004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55000000000000004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55000000000000004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>'Resultater - Vestdanmark'!H452+'Resultater - Østdanmark'!H452</f>
        <v>#REF!</v>
      </c>
      <c r="I452" s="287" t="e">
        <f>'Resultater - Vestdanmark'!I452+'Resultater - Østdanmark'!I452</f>
        <v>#REF!</v>
      </c>
      <c r="J452" s="288" t="e">
        <f>'Resultater - Vestdanmark'!J452+'Resultater - Østdanmark'!J452</f>
        <v>#REF!</v>
      </c>
    </row>
    <row r="453" spans="1:13" x14ac:dyDescent="0.55000000000000004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55000000000000004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17350796.020607103</v>
      </c>
    </row>
    <row r="455" spans="1:13" x14ac:dyDescent="0.55000000000000004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24747.369817605082</v>
      </c>
    </row>
    <row r="456" spans="1:13" x14ac:dyDescent="0.55000000000000004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55000000000000004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>'Resultater - Vestdanmark'!H457+'Resultater - Østdanmark'!H457</f>
        <v>#REF!</v>
      </c>
      <c r="I457" s="287" t="e">
        <f>'Resultater - Vestdanmark'!I457+'Resultater - Østdanmark'!I457</f>
        <v>#REF!</v>
      </c>
      <c r="J457" s="288" t="e">
        <f>'Resultater - Vestdanmark'!J457+'Resultater - Østdanmark'!J457</f>
        <v>#REF!</v>
      </c>
    </row>
    <row r="458" spans="1:13" x14ac:dyDescent="0.55000000000000004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>'Resultater - Vestdanmark'!H458+'Resultater - Østdanmark'!H458</f>
        <v>#REF!</v>
      </c>
      <c r="I458" s="287" t="e">
        <f>'Resultater - Vestdanmark'!I458+'Resultater - Østdanmark'!I458</f>
        <v>#REF!</v>
      </c>
      <c r="J458" s="288" t="e">
        <f>'Resultater - Vestdanmark'!J458+'Resultater - Østdanmark'!J458</f>
        <v>#REF!</v>
      </c>
    </row>
    <row r="459" spans="1:13" x14ac:dyDescent="0.55000000000000004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218</v>
      </c>
      <c r="M459" s="168">
        <v>17963.28</v>
      </c>
    </row>
    <row r="460" spans="1:13" x14ac:dyDescent="0.55000000000000004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0.15196335107036851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222</v>
      </c>
      <c r="M460" s="168">
        <v>14758.1</v>
      </c>
    </row>
    <row r="461" spans="1:13" x14ac:dyDescent="0.55000000000000004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219</v>
      </c>
      <c r="M461" s="168">
        <v>1988.19</v>
      </c>
    </row>
    <row r="462" spans="1:13" x14ac:dyDescent="0.55000000000000004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220</v>
      </c>
      <c r="M462" s="168">
        <v>8944.93</v>
      </c>
    </row>
    <row r="463" spans="1:13" x14ac:dyDescent="0.55000000000000004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221</v>
      </c>
      <c r="M463" s="168">
        <v>18651.71</v>
      </c>
    </row>
    <row r="464" spans="1:13" x14ac:dyDescent="0.55000000000000004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>'Resultater - Vestdanmark'!H464+'Resultater - Østdanmark'!H464</f>
        <v>#REF!</v>
      </c>
      <c r="I464" s="291" t="e">
        <f>'Resultater - Vestdanmark'!I464+'Resultater - Østdanmark'!I464</f>
        <v>#REF!</v>
      </c>
      <c r="J464" s="292" t="e">
        <f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55000000000000004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55000000000000004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55000000000000004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>'Resultater - Vestdanmark'!H467+'Resultater - Østdanmark'!H467</f>
        <v>#REF!</v>
      </c>
      <c r="I467" s="294" t="e">
        <f>'Resultater - Vestdanmark'!I467+'Resultater - Østdanmark'!I467</f>
        <v>#REF!</v>
      </c>
      <c r="J467" s="295" t="e">
        <f>'Resultater - Vestdanmark'!J467+'Resultater - Østdanmark'!J467</f>
        <v>#REF!</v>
      </c>
    </row>
    <row r="468" spans="1:13" x14ac:dyDescent="0.55000000000000004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55000000000000004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55000000000000004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55000000000000004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55000000000000004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55000000000000004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55000000000000004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4.7" thickBot="1" x14ac:dyDescent="0.6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55000000000000004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55000000000000004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55000000000000004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55000000000000004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55000000000000004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55000000000000004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55000000000000004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55000000000000004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55000000000000004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55000000000000004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55000000000000004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55000000000000004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55000000000000004">
      <c r="H488" s="97"/>
      <c r="I488" s="97"/>
      <c r="J488" s="97"/>
    </row>
    <row r="489" spans="1:10" x14ac:dyDescent="0.55000000000000004">
      <c r="H489" s="97"/>
      <c r="I489" s="97"/>
      <c r="J489" s="97"/>
    </row>
  </sheetData>
  <autoFilter ref="A2:O475" xr:uid="{0BA69478-A184-4362-901E-6AC334CD2ACE}">
    <filterColumn colId="2">
      <filters blank="1"/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196" activeCellId="1" sqref="N52 N196"/>
    </sheetView>
  </sheetViews>
  <sheetFormatPr defaultColWidth="18" defaultRowHeight="14.4" x14ac:dyDescent="0.55000000000000004"/>
  <cols>
    <col min="1" max="2" width="18.15625" style="192" bestFit="1" customWidth="1"/>
    <col min="3" max="3" width="8.15625" style="192" bestFit="1" customWidth="1"/>
    <col min="4" max="4" width="7.83984375" style="192" customWidth="1"/>
    <col min="5" max="5" width="11.15625" style="192" bestFit="1" customWidth="1"/>
    <col min="6" max="6" width="14.26171875" style="192" bestFit="1" customWidth="1"/>
    <col min="7" max="7" width="10.68359375" style="192" bestFit="1" customWidth="1"/>
    <col min="8" max="8" width="11.68359375" style="192" bestFit="1" customWidth="1"/>
    <col min="9" max="9" width="9" style="192" bestFit="1" customWidth="1"/>
    <col min="10" max="11" width="9.578125" style="192" bestFit="1" customWidth="1"/>
    <col min="12" max="12" width="10.578125" style="192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356" t="s">
        <v>256</v>
      </c>
      <c r="B1" s="356"/>
      <c r="C1" s="356"/>
      <c r="F1" s="357" t="s">
        <v>258</v>
      </c>
      <c r="G1" s="357"/>
      <c r="H1" s="357"/>
      <c r="I1" s="357"/>
      <c r="J1" s="357"/>
      <c r="K1" s="357"/>
      <c r="L1" s="357"/>
      <c r="M1" s="358"/>
      <c r="N1" s="359" t="s">
        <v>259</v>
      </c>
      <c r="O1" s="360"/>
      <c r="P1" s="361"/>
      <c r="Q1" s="353" t="s">
        <v>123</v>
      </c>
      <c r="R1" s="353"/>
      <c r="S1" s="353"/>
      <c r="T1" s="354"/>
      <c r="U1" s="355" t="s">
        <v>232</v>
      </c>
      <c r="V1" s="353"/>
      <c r="W1" s="353"/>
      <c r="X1" s="354"/>
    </row>
    <row r="2" spans="1:26" x14ac:dyDescent="0.55000000000000004">
      <c r="A2" s="199" t="s">
        <v>129</v>
      </c>
      <c r="B2" s="199" t="s">
        <v>325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226</v>
      </c>
      <c r="N2" s="202" t="s">
        <v>257</v>
      </c>
      <c r="O2" s="199" t="s">
        <v>131</v>
      </c>
      <c r="P2" s="203" t="s">
        <v>192</v>
      </c>
      <c r="Q2" s="199" t="s">
        <v>132</v>
      </c>
      <c r="R2" s="199" t="s">
        <v>235</v>
      </c>
      <c r="S2" s="199" t="s">
        <v>236</v>
      </c>
      <c r="T2" s="201" t="s">
        <v>296</v>
      </c>
      <c r="U2" s="200" t="s">
        <v>238</v>
      </c>
      <c r="V2" s="199" t="s">
        <v>237</v>
      </c>
      <c r="W2" s="199" t="s">
        <v>239</v>
      </c>
      <c r="X2" s="201" t="s">
        <v>295</v>
      </c>
      <c r="Y2" s="95" t="s">
        <v>290</v>
      </c>
      <c r="Z2" s="199" t="s">
        <v>313</v>
      </c>
    </row>
    <row r="3" spans="1:26" x14ac:dyDescent="0.55000000000000004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O3*IFERROR(VLOOKUP(A3,[1]Tørstofindhold!A$2:B$25,2,FALSE),0)</f>
        <v>0</v>
      </c>
      <c r="V3" s="192">
        <f>IF(D3=År1,P3,SUM(O3,P3))*IFERROR(VLOOKUP(A3,[1]Tørstofindhold!A$2:B$25,2,FALSE),0)</f>
        <v>0</v>
      </c>
      <c r="W3" s="192">
        <f>J3*IFERROR(VLOOKUP(A3,[1]Tørstofindhold!A$2:B$25,2,FALSE),0)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O4*IFERROR(VLOOKUP(A4,[1]Tørstofindhold!A$2:B$25,2,FALSE),0)</f>
        <v>0</v>
      </c>
      <c r="V4" s="192">
        <f>IF(D4=År1,P4,SUM(O4,P4))*IFERROR(VLOOKUP(A4,[1]Tørstofindhold!A$2:B$25,2,FALSE),0)</f>
        <v>0</v>
      </c>
      <c r="W4" s="192">
        <f>J4*IFERROR(VLOOKUP(A4,[1]Tørstofindhold!A$2:B$25,2,FALSE),0)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55000000000000004">
      <c r="A5" s="194" t="s">
        <v>103</v>
      </c>
      <c r="B5" s="194" t="s">
        <v>233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si="4"/>
        <v>#REF!</v>
      </c>
      <c r="O5" s="195" t="e">
        <f t="shared" si="1"/>
        <v>#REF!</v>
      </c>
      <c r="P5" s="205" t="e">
        <f t="shared" si="5"/>
        <v>#REF!</v>
      </c>
      <c r="Q5" s="192" t="e">
        <f>IFERROR(VLOOKUP(A5,[1]Energiindhold!$A$2:$C$11,3,FALSE),IFERROR(VLOOKUP(A5,[1]Biogasudbytte!$A$2:$B$18,2,FALSE)*[1]Energiindhold!$C$10,0))*O5</f>
        <v>#REF!</v>
      </c>
      <c r="R5" s="192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>IFERROR(VLOOKUP(A5,[1]Biogasudbytte!$A$2:$B$18,2,FALSE)*[1]Energiindhold!$C$10,0)*J5*IFERROR(VLOOKUP(A5,Biogasanlæg!$F$3:$G$8,2,FALSE),1)</f>
        <v>#REF!</v>
      </c>
      <c r="T5" s="193" t="e">
        <f t="shared" si="6"/>
        <v>#REF!</v>
      </c>
      <c r="U5" s="191" t="e">
        <f>O5*IFERROR(VLOOKUP(A5,[1]Tørstofindhold!A$2:B$25,2,FALSE),0)</f>
        <v>#REF!</v>
      </c>
      <c r="V5" s="192" t="e">
        <f>IF(D5=År1,P5,SUM(O5,P5))*IFERROR(VLOOKUP(A5,[1]Tørstofindhold!A$2:B$25,2,FALSE),0)</f>
        <v>#REF!</v>
      </c>
      <c r="W5" s="192" t="e">
        <f>J5*IFERROR(VLOOKUP(A5,[1]Tørstofindhold!A$2:B$25,2,FALSE),0)</f>
        <v>#REF!</v>
      </c>
      <c r="X5" s="193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55000000000000004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318994651.89957649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318994651.89957649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si="4"/>
        <v>0</v>
      </c>
      <c r="O6" s="195">
        <f t="shared" si="1"/>
        <v>0</v>
      </c>
      <c r="P6" s="205">
        <f t="shared" si="5"/>
        <v>318994651.89957649</v>
      </c>
      <c r="Q6" s="192">
        <f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>O6*IFERROR(VLOOKUP(A6,[1]Tørstofindhold!A$2:B$25,2,FALSE),0)</f>
        <v>0</v>
      </c>
      <c r="V6" s="192">
        <f>IF(D6=År1,P6,SUM(O6,P6))*IFERROR(VLOOKUP(A6,[1]Tørstofindhold!A$2:B$25,2,FALSE),0)</f>
        <v>0</v>
      </c>
      <c r="W6" s="192">
        <f>J6*IFERROR(VLOOKUP(A6,[1]Tørstofindhold!A$2:B$25,2,FALSE),0)</f>
        <v>0</v>
      </c>
      <c r="X6" s="193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55000000000000004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O7*IFERROR(VLOOKUP(A7,[1]Tørstofindhold!A$2:B$25,2,FALSE),0)</f>
        <v>0</v>
      </c>
      <c r="V7" s="192">
        <f>IF(D7=År1,P7,SUM(O7,P7))*IFERROR(VLOOKUP(A7,[1]Tørstofindhold!A$2:B$25,2,FALSE),0)</f>
        <v>0</v>
      </c>
      <c r="W7" s="192">
        <f>J7*IFERROR(VLOOKUP(A7,[1]Tørstofindhold!A$2:B$25,2,FALSE),0)</f>
        <v>0</v>
      </c>
      <c r="X7" s="193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55000000000000004">
      <c r="A8" s="194" t="s">
        <v>210</v>
      </c>
      <c r="B8" s="194" t="s">
        <v>233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O8*IFERROR(VLOOKUP(A8,[1]Tørstofindhold!A$2:B$25,2,FALSE),0)</f>
        <v>0</v>
      </c>
      <c r="V8" s="192">
        <f>IF(D8=År1,P8,SUM(O8,P8))*IFERROR(VLOOKUP(A8,[1]Tørstofindhold!A$2:B$25,2,FALSE),0)</f>
        <v>0</v>
      </c>
      <c r="W8" s="192">
        <f>J8*IFERROR(VLOOKUP(A8,[1]Tørstofindhold!A$2:B$25,2,FALSE),0)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55000000000000004">
      <c r="A9" s="192" t="s">
        <v>102</v>
      </c>
      <c r="B9" s="194" t="s">
        <v>225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O9*IFERROR(VLOOKUP(A9,[1]Tørstofindhold!A$2:B$25,2,FALSE),0)</f>
        <v>359642.22916334897</v>
      </c>
      <c r="V9" s="192">
        <f>IF(D9=År1,P9,SUM(O9,P9))*IFERROR(VLOOKUP(A9,[1]Tørstofindhold!A$2:B$25,2,FALSE),0)</f>
        <v>201358.40146508775</v>
      </c>
      <c r="W9" s="192">
        <f>J9*IFERROR(VLOOKUP(A9,[1]Tørstofindhold!A$2:B$25,2,FALSE),0)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55000000000000004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O10*IFERROR(VLOOKUP(A10,[1]Tørstofindhold!A$2:B$25,2,FALSE),0)</f>
        <v>0</v>
      </c>
      <c r="V10" s="192">
        <f>IF(D10=År1,P10,SUM(O10,P10))*IFERROR(VLOOKUP(A10,[1]Tørstofindhold!A$2:B$25,2,FALSE),0)</f>
        <v>0</v>
      </c>
      <c r="W10" s="192">
        <f>J10*IFERROR(VLOOKUP(A10,[1]Tørstofindhold!A$2:B$25,2,FALSE),0)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55000000000000004">
      <c r="A11" s="192" t="s">
        <v>138</v>
      </c>
      <c r="B11" s="194" t="s">
        <v>225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O11*IFERROR(VLOOKUP(A11,[1]Tørstofindhold!A$2:B$25,2,FALSE),0)</f>
        <v>62.788234524127645</v>
      </c>
      <c r="V11" s="192">
        <f>IF(D11=År1,P11,SUM(O11,P11))*IFERROR(VLOOKUP(A11,[1]Tørstofindhold!A$2:B$25,2,FALSE),0)</f>
        <v>258.53978921699621</v>
      </c>
      <c r="W11" s="192">
        <f>J11*IFERROR(VLOOKUP(A11,[1]Tørstofindhold!A$2:B$25,2,FALSE),0)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x14ac:dyDescent="0.55000000000000004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O12*IFERROR(VLOOKUP(A12,[1]Tørstofindhold!A$2:B$25,2,FALSE),0)</f>
        <v>0</v>
      </c>
      <c r="V12" s="192">
        <f>IF(D12=År1,P12,SUM(O12,P12))*IFERROR(VLOOKUP(A12,[1]Tørstofindhold!A$2:B$25,2,FALSE),0)</f>
        <v>0</v>
      </c>
      <c r="W12" s="192">
        <f>J12*IFERROR(VLOOKUP(A12,[1]Tørstofindhold!A$2:B$25,2,FALSE),0)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55000000000000004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O13*IFERROR(VLOOKUP(A13,[1]Tørstofindhold!A$2:B$25,2,FALSE),0)</f>
        <v>0</v>
      </c>
      <c r="V13" s="192">
        <f>IF(D13=År1,P13,SUM(O13,P13))*IFERROR(VLOOKUP(A13,[1]Tørstofindhold!A$2:B$25,2,FALSE),0)</f>
        <v>0</v>
      </c>
      <c r="W13" s="192">
        <f>J13*IFERROR(VLOOKUP(A13,[1]Tørstofindhold!A$2:B$25,2,FALSE),0)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55000000000000004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O14*IFERROR(VLOOKUP(A14,[1]Tørstofindhold!A$2:B$25,2,FALSE),0)</f>
        <v>0</v>
      </c>
      <c r="V14" s="192">
        <f>IF(D14=År1,P14,SUM(O14,P14))*IFERROR(VLOOKUP(A14,[1]Tørstofindhold!A$2:B$25,2,FALSE),0)</f>
        <v>0</v>
      </c>
      <c r="W14" s="192">
        <f>J14*IFERROR(VLOOKUP(A14,[1]Tørstofindhold!A$2:B$25,2,FALSE),0)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55000000000000004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O15*IFERROR(VLOOKUP(A15,[1]Tørstofindhold!A$2:B$25,2,FALSE),0)</f>
        <v>0</v>
      </c>
      <c r="V15" s="192">
        <f>IF(D15=År1,P15,SUM(O15,P15))*IFERROR(VLOOKUP(A15,[1]Tørstofindhold!A$2:B$25,2,FALSE),0)</f>
        <v>102774.24</v>
      </c>
      <c r="W15" s="192">
        <f>J15*IFERROR(VLOOKUP(A15,[1]Tørstofindhold!A$2:B$25,2,FALSE),0)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55000000000000004">
      <c r="A16" s="194" t="s">
        <v>51</v>
      </c>
      <c r="B16" s="194" t="s">
        <v>227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O16*IFERROR(VLOOKUP(A16,[1]Tørstofindhold!A$2:B$25,2,FALSE),0)</f>
        <v>994049.13870830298</v>
      </c>
      <c r="V16" s="192">
        <f>IF(D16=År1,P16,SUM(O16,P16))*IFERROR(VLOOKUP(A16,[1]Tørstofindhold!A$2:B$25,2,FALSE),0)</f>
        <v>21208.925891905561</v>
      </c>
      <c r="W16" s="192">
        <f>J16*IFERROR(VLOOKUP(A16,[1]Tørstofindhold!A$2:B$25,2,FALSE),0)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55000000000000004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O17*IFERROR(VLOOKUP(A17,[1]Tørstofindhold!A$2:B$25,2,FALSE),0)</f>
        <v>0</v>
      </c>
      <c r="V17" s="192">
        <f>IF(D17=År1,P17,SUM(O17,P17))*IFERROR(VLOOKUP(A17,[1]Tørstofindhold!A$2:B$25,2,FALSE),0)</f>
        <v>0</v>
      </c>
      <c r="W17" s="192">
        <f>J17*IFERROR(VLOOKUP(A17,[1]Tørstofindhold!A$2:B$25,2,FALSE),0)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55000000000000004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O18*IFERROR(VLOOKUP(A18,[1]Tørstofindhold!A$2:B$25,2,FALSE),0)</f>
        <v>0</v>
      </c>
      <c r="V18" s="192">
        <f>IF(D18=År1,P18,SUM(O18,P18))*IFERROR(VLOOKUP(A18,[1]Tørstofindhold!A$2:B$25,2,FALSE),0)</f>
        <v>0</v>
      </c>
      <c r="W18" s="192">
        <f>J18*IFERROR(VLOOKUP(A18,[1]Tørstofindhold!A$2:B$25,2,FALSE),0)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55000000000000004">
      <c r="A19" s="194" t="s">
        <v>68</v>
      </c>
      <c r="B19" s="194" t="s">
        <v>230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O19*IFERROR(VLOOKUP(A19,[1]Tørstofindhold!A$2:B$25,2,FALSE),0)</f>
        <v>0</v>
      </c>
      <c r="V19" s="192">
        <f>IF(D19=År1,P19,SUM(O19,P19))*IFERROR(VLOOKUP(A19,[1]Tørstofindhold!A$2:B$25,2,FALSE),0)</f>
        <v>1030819.8252529224</v>
      </c>
      <c r="W19" s="192">
        <f>J19*IFERROR(VLOOKUP(A19,[1]Tørstofindhold!A$2:B$25,2,FALSE),0)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55000000000000004">
      <c r="A20" s="194" t="s">
        <v>163</v>
      </c>
      <c r="B20" s="194" t="s">
        <v>233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O20*IFERROR(VLOOKUP(A20,[1]Tørstofindhold!A$2:B$25,2,FALSE),0)</f>
        <v>0</v>
      </c>
      <c r="V20" s="192">
        <f>IF(D20=År1,P20,SUM(O20,P20))*IFERROR(VLOOKUP(A20,[1]Tørstofindhold!A$2:B$25,2,FALSE),0)</f>
        <v>159138.74629869961</v>
      </c>
      <c r="W20" s="192">
        <f>J20*IFERROR(VLOOKUP(A20,[1]Tørstofindhold!A$2:B$25,2,FALSE),0)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55000000000000004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O21*IFERROR(VLOOKUP(A21,[1]Tørstofindhold!A$2:B$25,2,FALSE),0)</f>
        <v>0</v>
      </c>
      <c r="V21" s="192">
        <f>IF(D21=År1,P21,SUM(O21,P21))*IFERROR(VLOOKUP(A21,[1]Tørstofindhold!A$2:B$25,2,FALSE),0)</f>
        <v>0</v>
      </c>
      <c r="W21" s="192">
        <f>J21*IFERROR(VLOOKUP(A21,[1]Tørstofindhold!A$2:B$25,2,FALSE),0)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55000000000000004">
      <c r="A22" s="194" t="s">
        <v>104</v>
      </c>
      <c r="B22" s="194" t="s">
        <v>233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2.7926735859525804</v>
      </c>
      <c r="S22" s="192">
        <f>IFERROR(VLOOKUP(A22,[1]Biogasudbytte!$A$2:$B$18,2,FALSE)*[1]Energiindhold!$C$10,0)*J22*IFERROR(VLOOKUP(A22,Biogasanlæg!$F$3:$G$8,2,FALSE),1)</f>
        <v>2.7926735859525804</v>
      </c>
      <c r="T22" s="193">
        <f t="shared" si="11"/>
        <v>0</v>
      </c>
      <c r="U22" s="191">
        <f>O22*IFERROR(VLOOKUP(A22,[1]Tørstofindhold!A$2:B$25,2,FALSE),0)</f>
        <v>0</v>
      </c>
      <c r="V22" s="192">
        <f>IF(D22=År1,P22,SUM(O22,P22))*IFERROR(VLOOKUP(A22,[1]Tørstofindhold!A$2:B$25,2,FALSE),0)</f>
        <v>300763.57585499104</v>
      </c>
      <c r="W22" s="192">
        <f>J22*IFERROR(VLOOKUP(A22,[1]Tørstofindhold!A$2:B$25,2,FALSE),0)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55000000000000004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O23*IFERROR(VLOOKUP(A23,[1]Tørstofindhold!A$2:B$25,2,FALSE),0)</f>
        <v>0</v>
      </c>
      <c r="V23" s="192">
        <f>IF(D23=År1,P23,SUM(O23,P23))*IFERROR(VLOOKUP(A23,[1]Tørstofindhold!A$2:B$25,2,FALSE),0)</f>
        <v>0</v>
      </c>
      <c r="W23" s="192">
        <f>J23*IFERROR(VLOOKUP(A23,[1]Tørstofindhold!A$2:B$25,2,FALSE),0)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55000000000000004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O24*IFERROR(VLOOKUP(A24,[1]Tørstofindhold!A$2:B$25,2,FALSE),0)</f>
        <v>0</v>
      </c>
      <c r="V24" s="192">
        <f>IF(D24=År1,P24,SUM(O24,P24))*IFERROR(VLOOKUP(A24,[1]Tørstofindhold!A$2:B$25,2,FALSE),0)</f>
        <v>0</v>
      </c>
      <c r="W24" s="192">
        <f>J24*IFERROR(VLOOKUP(A24,[1]Tørstofindhold!A$2:B$25,2,FALSE),0)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55000000000000004">
      <c r="A25" s="194" t="s">
        <v>48</v>
      </c>
      <c r="B25" s="194" t="s">
        <v>230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O25*IFERROR(VLOOKUP(A25,[1]Tørstofindhold!A$2:B$25,2,FALSE),0)</f>
        <v>206337.459594888</v>
      </c>
      <c r="V25" s="192">
        <f>IF(D25=År1,P25,SUM(O25,P25))*IFERROR(VLOOKUP(A25,[1]Tørstofindhold!A$2:B$25,2,FALSE),0)</f>
        <v>880.45745202057424</v>
      </c>
      <c r="W25" s="192">
        <f>J25*IFERROR(VLOOKUP(A25,[1]Tørstofindhold!A$2:B$25,2,FALSE),0)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55000000000000004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O26*IFERROR(VLOOKUP(A26,[1]Tørstofindhold!A$2:B$25,2,FALSE),0)</f>
        <v>0</v>
      </c>
      <c r="V26" s="192">
        <f>IF(D26=År1,P26,SUM(O26,P26))*IFERROR(VLOOKUP(A26,[1]Tørstofindhold!A$2:B$25,2,FALSE),0)</f>
        <v>0</v>
      </c>
      <c r="W26" s="192">
        <f>J26*IFERROR(VLOOKUP(A26,[1]Tørstofindhold!A$2:B$25,2,FALSE),0)</f>
        <v>0</v>
      </c>
      <c r="X26" s="193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55000000000000004">
      <c r="A27" s="194" t="s">
        <v>137</v>
      </c>
      <c r="B27" s="194" t="s">
        <v>225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O27*IFERROR(VLOOKUP(A27,[1]Tørstofindhold!A$2:B$25,2,FALSE),0)</f>
        <v>232339.01261192418</v>
      </c>
      <c r="V27" s="192">
        <f>IF(D27=År1,P27,SUM(O27,P27))*IFERROR(VLOOKUP(A27,[1]Tørstofindhold!A$2:B$25,2,FALSE),0)</f>
        <v>309081.71011804708</v>
      </c>
      <c r="W27" s="192">
        <f>J27*IFERROR(VLOOKUP(A27,[1]Tørstofindhold!A$2:B$25,2,FALSE),0)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x14ac:dyDescent="0.55000000000000004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O28*IFERROR(VLOOKUP(A28,[1]Tørstofindhold!A$2:B$25,2,FALSE),0)</f>
        <v>0</v>
      </c>
      <c r="V28" s="192">
        <f>IF(D28=År1,P28,SUM(O28,P28))*IFERROR(VLOOKUP(A28,[1]Tørstofindhold!A$2:B$25,2,FALSE),0)</f>
        <v>0</v>
      </c>
      <c r="W28" s="192">
        <f>J28*IFERROR(VLOOKUP(A28,[1]Tørstofindhold!A$2:B$25,2,FALSE),0)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55000000000000004">
      <c r="A29" s="192" t="s">
        <v>53</v>
      </c>
      <c r="B29" s="194" t="s">
        <v>227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O29*IFERROR(VLOOKUP(A29,[1]Tørstofindhold!A$2:B$25,2,FALSE),0)</f>
        <v>379878.67388024763</v>
      </c>
      <c r="V29" s="192">
        <f>IF(D29=År1,P29,SUM(O29,P29))*IFERROR(VLOOKUP(A29,[1]Tørstofindhold!A$2:B$25,2,FALSE),0)</f>
        <v>94446.430479468312</v>
      </c>
      <c r="W29" s="192">
        <f>J29*IFERROR(VLOOKUP(A29,[1]Tørstofindhold!A$2:B$25,2,FALSE),0)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55000000000000004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O30*IFERROR(VLOOKUP(A30,[1]Tørstofindhold!A$2:B$25,2,FALSE),0)</f>
        <v>0</v>
      </c>
      <c r="V30" s="192">
        <f>IF(D30=År1,P30,SUM(O30,P30))*IFERROR(VLOOKUP(A30,[1]Tørstofindhold!A$2:B$25,2,FALSE),0)</f>
        <v>0</v>
      </c>
      <c r="W30" s="192">
        <f>J30*IFERROR(VLOOKUP(A30,[1]Tørstofindhold!A$2:B$25,2,FALSE),0)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55000000000000004">
      <c r="A31" s="194" t="s">
        <v>107</v>
      </c>
      <c r="B31" s="194" t="s">
        <v>229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O31*IFERROR(VLOOKUP(A31,[1]Tørstofindhold!A$2:B$25,2,FALSE),0)</f>
        <v>131.83534701746427</v>
      </c>
      <c r="V31" s="192">
        <f>IF(D31=År1,P31,SUM(O31,P31))*IFERROR(VLOOKUP(A31,[1]Tørstofindhold!A$2:B$25,2,FALSE),0)</f>
        <v>0</v>
      </c>
      <c r="W31" s="192">
        <f>J31*IFERROR(VLOOKUP(A31,[1]Tørstofindhold!A$2:B$25,2,FALSE),0)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55000000000000004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O32*IFERROR(VLOOKUP(A32,[1]Tørstofindhold!A$2:B$25,2,FALSE),0)</f>
        <v>0</v>
      </c>
      <c r="V32" s="192">
        <f>IF(D32=År1,P32,SUM(O32,P32))*IFERROR(VLOOKUP(A32,[1]Tørstofindhold!A$2:B$25,2,FALSE),0)</f>
        <v>0</v>
      </c>
      <c r="W32" s="192">
        <f>J32*IFERROR(VLOOKUP(A32,[1]Tørstofindhold!A$2:B$25,2,FALSE),0)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55000000000000004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O33*IFERROR(VLOOKUP(A33,[1]Tørstofindhold!A$2:B$25,2,FALSE),0)</f>
        <v>0</v>
      </c>
      <c r="V33" s="192">
        <f>IF(D33=År1,P33,SUM(O33,P33))*IFERROR(VLOOKUP(A33,[1]Tørstofindhold!A$2:B$25,2,FALSE),0)</f>
        <v>0</v>
      </c>
      <c r="W33" s="192">
        <f>J33*IFERROR(VLOOKUP(A33,[1]Tørstofindhold!A$2:B$25,2,FALSE),0)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55000000000000004">
      <c r="A34" s="194" t="s">
        <v>96</v>
      </c>
      <c r="B34" s="194" t="s">
        <v>228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O34*IFERROR(VLOOKUP(A34,[1]Tørstofindhold!A$2:B$25,2,FALSE),0)</f>
        <v>0</v>
      </c>
      <c r="V34" s="192">
        <f>IF(D34=År1,P34,SUM(O34,P34))*IFERROR(VLOOKUP(A34,[1]Tørstofindhold!A$2:B$25,2,FALSE),0)</f>
        <v>71465.1029917407</v>
      </c>
      <c r="W34" s="192">
        <f>J34*IFERROR(VLOOKUP(A34,[1]Tørstofindhold!A$2:B$25,2,FALSE),0)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55000000000000004">
      <c r="A35" s="194" t="s">
        <v>320</v>
      </c>
      <c r="B35" s="194" t="s">
        <v>326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O35*IFERROR(VLOOKUP(A35,[1]Tørstofindhold!A$2:B$25,2,FALSE),0)</f>
        <v>0</v>
      </c>
      <c r="V35" s="192">
        <f>IF(D35=År1,P35,SUM(O35,P35))*IFERROR(VLOOKUP(A35,[1]Tørstofindhold!A$2:B$25,2,FALSE),0)</f>
        <v>0</v>
      </c>
      <c r="W35" s="192">
        <f>J35*IFERROR(VLOOKUP(A35,[1]Tørstofindhold!A$2:B$25,2,FALSE),0)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55000000000000004">
      <c r="A36" s="194" t="s">
        <v>321</v>
      </c>
      <c r="B36" s="194" t="s">
        <v>326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O36*IFERROR(VLOOKUP(A36,[1]Tørstofindhold!A$2:B$25,2,FALSE),0)</f>
        <v>0</v>
      </c>
      <c r="V36" s="192">
        <f>IF(D36=År1,P36,SUM(O36,P36))*IFERROR(VLOOKUP(A36,[1]Tørstofindhold!A$2:B$25,2,FALSE),0)</f>
        <v>0</v>
      </c>
      <c r="W36" s="192">
        <f>J36*IFERROR(VLOOKUP(A36,[1]Tørstofindhold!A$2:B$25,2,FALSE),0)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55000000000000004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O37*IFERROR(VLOOKUP(A37,[1]Tørstofindhold!A$2:B$25,2,FALSE),0)</f>
        <v>0</v>
      </c>
      <c r="V37" s="192">
        <f>IF(D37=År1,P37,SUM(O37,P37))*IFERROR(VLOOKUP(A37,[1]Tørstofindhold!A$2:B$25,2,FALSE),0)</f>
        <v>0</v>
      </c>
      <c r="W37" s="192">
        <f>J37*IFERROR(VLOOKUP(A37,[1]Tørstofindhold!A$2:B$25,2,FALSE),0)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55000000000000004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O38*IFERROR(VLOOKUP(A38,[1]Tørstofindhold!A$2:B$25,2,FALSE),0)</f>
        <v>0</v>
      </c>
      <c r="V38" s="192">
        <f>IF(D38=År1,P38,SUM(O38,P38))*IFERROR(VLOOKUP(A38,[1]Tørstofindhold!A$2:B$25,2,FALSE),0)</f>
        <v>0</v>
      </c>
      <c r="W38" s="192">
        <f>J38*IFERROR(VLOOKUP(A38,[1]Tørstofindhold!A$2:B$25,2,FALSE),0)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55000000000000004">
      <c r="A39" s="192" t="s">
        <v>241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O39*IFERROR(VLOOKUP(A39,[1]Tørstofindhold!A$2:B$25,2,FALSE),0)</f>
        <v>0</v>
      </c>
      <c r="V39" s="192">
        <f>IF(D39=År1,P39,SUM(O39,P39))*IFERROR(VLOOKUP(A39,[1]Tørstofindhold!A$2:B$25,2,FALSE),0)</f>
        <v>0</v>
      </c>
      <c r="W39" s="192">
        <f>J39*IFERROR(VLOOKUP(A39,[1]Tørstofindhold!A$2:B$25,2,FALSE),0)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55000000000000004">
      <c r="A40" s="192" t="s">
        <v>234</v>
      </c>
      <c r="B40" s="194" t="s">
        <v>234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3102.9355833262225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152043.84358298479</v>
      </c>
      <c r="N40" s="204">
        <f t="shared" si="9"/>
        <v>0</v>
      </c>
      <c r="O40" s="195">
        <f t="shared" si="1"/>
        <v>0</v>
      </c>
      <c r="P40" s="205">
        <f t="shared" si="10"/>
        <v>3102.9355833262225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0.10860274541641778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0.10860274541641778</v>
      </c>
      <c r="U40" s="191">
        <f>O40*IFERROR(VLOOKUP(A40,[1]Tørstofindhold!A$2:B$25,2,FALSE),0)</f>
        <v>0</v>
      </c>
      <c r="V40" s="192">
        <f>IF(D40=År1,P40,SUM(O40,P40))*IFERROR(VLOOKUP(A40,[1]Tørstofindhold!A$2:B$25,2,FALSE),0)</f>
        <v>2823.6713808268628</v>
      </c>
      <c r="W40" s="192">
        <f>J40*IFERROR(VLOOKUP(A40,[1]Tørstofindhold!A$2:B$25,2,FALSE),0)</f>
        <v>0</v>
      </c>
      <c r="X40" s="193">
        <f t="shared" si="12"/>
        <v>2823.6713808268628</v>
      </c>
      <c r="Y40" s="171">
        <f t="shared" si="2"/>
        <v>0</v>
      </c>
      <c r="Z40" s="103">
        <f t="shared" si="3"/>
        <v>0</v>
      </c>
    </row>
    <row r="41" spans="1:26" x14ac:dyDescent="0.55000000000000004">
      <c r="A41" s="192" t="s">
        <v>52</v>
      </c>
      <c r="B41" s="194" t="s">
        <v>227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O41*IFERROR(VLOOKUP(A41,[1]Tørstofindhold!A$2:B$25,2,FALSE),0)</f>
        <v>0</v>
      </c>
      <c r="V41" s="192">
        <f>IF(D41=År1,P41,SUM(O41,P41))*IFERROR(VLOOKUP(A41,[1]Tørstofindhold!A$2:B$25,2,FALSE),0)</f>
        <v>820.20978483944555</v>
      </c>
      <c r="W41" s="192">
        <f>J41*IFERROR(VLOOKUP(A41,[1]Tørstofindhold!A$2:B$25,2,FALSE),0)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55000000000000004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O42*IFERROR(VLOOKUP(A42,[1]Tørstofindhold!A$2:B$25,2,FALSE),0)</f>
        <v>0</v>
      </c>
      <c r="V42" s="192">
        <f>IF(D42=År1,P42,SUM(O42,P42))*IFERROR(VLOOKUP(A42,[1]Tørstofindhold!A$2:B$25,2,FALSE),0)</f>
        <v>0</v>
      </c>
      <c r="W42" s="192">
        <f>J42*IFERROR(VLOOKUP(A42,[1]Tørstofindhold!A$2:B$25,2,FALSE),0)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55000000000000004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O43*IFERROR(VLOOKUP(A43,[1]Tørstofindhold!A$2:B$25,2,FALSE),0)</f>
        <v>0</v>
      </c>
      <c r="V43" s="192">
        <f>IF(D43=År1,P43,SUM(O43,P43))*IFERROR(VLOOKUP(A43,[1]Tørstofindhold!A$2:B$25,2,FALSE),0)</f>
        <v>0</v>
      </c>
      <c r="W43" s="192">
        <f>J43*IFERROR(VLOOKUP(A43,[1]Tørstofindhold!A$2:B$25,2,FALSE),0)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55000000000000004">
      <c r="A44" s="194" t="s">
        <v>141</v>
      </c>
      <c r="B44" s="194" t="s">
        <v>233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O44*IFERROR(VLOOKUP(A44,[1]Tørstofindhold!A$2:B$25,2,FALSE),0)</f>
        <v>143400.83716653602</v>
      </c>
      <c r="V44" s="192">
        <f>IF(D44=År1,P44,SUM(O44,P44))*IFERROR(VLOOKUP(A44,[1]Tørstofindhold!A$2:B$25,2,FALSE),0)</f>
        <v>87610.955247949008</v>
      </c>
      <c r="W44" s="192">
        <f>J44*IFERROR(VLOOKUP(A44,[1]Tørstofindhold!A$2:B$25,2,FALSE),0)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55000000000000004">
      <c r="A45" s="194" t="s">
        <v>136</v>
      </c>
      <c r="B45" s="194" t="s">
        <v>225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O45*IFERROR(VLOOKUP(A45,[1]Tørstofindhold!A$2:B$25,2,FALSE),0)</f>
        <v>0</v>
      </c>
      <c r="V45" s="192">
        <f>IF(D45=År1,P45,SUM(O45,P45))*IFERROR(VLOOKUP(A45,[1]Tørstofindhold!A$2:B$25,2,FALSE),0)</f>
        <v>126722.10364886111</v>
      </c>
      <c r="W45" s="192">
        <f>J45*IFERROR(VLOOKUP(A45,[1]Tørstofindhold!A$2:B$25,2,FALSE),0)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55000000000000004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O46*IFERROR(VLOOKUP(A46,[1]Tørstofindhold!A$2:B$25,2,FALSE),0)</f>
        <v>0</v>
      </c>
      <c r="V46" s="192">
        <f>IF(D46=År1,P46,SUM(O46,P46))*IFERROR(VLOOKUP(A46,[1]Tørstofindhold!A$2:B$25,2,FALSE),0)</f>
        <v>0</v>
      </c>
      <c r="W46" s="192">
        <f>J46*IFERROR(VLOOKUP(A46,[1]Tørstofindhold!A$2:B$25,2,FALSE),0)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55000000000000004">
      <c r="A47" s="194" t="s">
        <v>100</v>
      </c>
      <c r="B47" s="194" t="s">
        <v>229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O47*IFERROR(VLOOKUP(A47,[1]Tørstofindhold!A$2:B$25,2,FALSE),0)</f>
        <v>11.475</v>
      </c>
      <c r="V47" s="192">
        <f>IF(D47=År1,P47,SUM(O47,P47))*IFERROR(VLOOKUP(A47,[1]Tørstofindhold!A$2:B$25,2,FALSE),0)</f>
        <v>0</v>
      </c>
      <c r="W47" s="192">
        <f>J47*IFERROR(VLOOKUP(A47,[1]Tørstofindhold!A$2:B$25,2,FALSE),0)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55000000000000004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O48*IFERROR(VLOOKUP(A48,[1]Tørstofindhold!A$2:B$25,2,FALSE),0)</f>
        <v>0</v>
      </c>
      <c r="V48" s="192">
        <f>IF(D48=År1,P48,SUM(O48,P48))*IFERROR(VLOOKUP(A48,[1]Tørstofindhold!A$2:B$25,2,FALSE),0)</f>
        <v>0</v>
      </c>
      <c r="W48" s="192">
        <f>J48*IFERROR(VLOOKUP(A48,[1]Tørstofindhold!A$2:B$25,2,FALSE),0)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55000000000000004">
      <c r="A49" s="194" t="s">
        <v>120</v>
      </c>
      <c r="B49" s="194" t="s">
        <v>228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O49*IFERROR(VLOOKUP(A49,[1]Tørstofindhold!A$2:B$25,2,FALSE),0)</f>
        <v>0</v>
      </c>
      <c r="V49" s="192">
        <f>IF(D49=År1,P49,SUM(O49,P49))*IFERROR(VLOOKUP(A49,[1]Tørstofindhold!A$2:B$25,2,FALSE),0)</f>
        <v>1151704.3763715085</v>
      </c>
      <c r="W49" s="192">
        <f>J49*IFERROR(VLOOKUP(A49,[1]Tørstofindhold!A$2:B$25,2,FALSE),0)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55000000000000004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O50*IFERROR(VLOOKUP(A50,[1]Tørstofindhold!A$2:B$25,2,FALSE),0)</f>
        <v>0</v>
      </c>
      <c r="V50" s="192">
        <f>IF(D50=År1,P50,SUM(O50,P50))*IFERROR(VLOOKUP(A50,[1]Tørstofindhold!A$2:B$25,2,FALSE),0)</f>
        <v>0</v>
      </c>
      <c r="W50" s="192">
        <f>J50*IFERROR(VLOOKUP(A50,[1]Tørstofindhold!A$2:B$25,2,FALSE),0)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55000000000000004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O51*IFERROR(VLOOKUP(A51,[1]Tørstofindhold!A$2:B$25,2,FALSE),0)</f>
        <v>0</v>
      </c>
      <c r="V51" s="192">
        <f>IF(D51=År1,P51,SUM(O51,P51))*IFERROR(VLOOKUP(A51,[1]Tørstofindhold!A$2:B$25,2,FALSE),0)</f>
        <v>0</v>
      </c>
      <c r="W51" s="192">
        <f>J51*IFERROR(VLOOKUP(A51,[1]Tørstofindhold!A$2:B$25,2,FALSE),0)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55000000000000004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O52*IFERROR(VLOOKUP(A52,[1]Tørstofindhold!A$2:B$25,2,FALSE),0)</f>
        <v>0</v>
      </c>
      <c r="V52" s="192">
        <f>IF(D52=År1,P52,SUM(O52,P52))*IFERROR(VLOOKUP(A52,[1]Tørstofindhold!A$2:B$25,2,FALSE),0)</f>
        <v>0</v>
      </c>
      <c r="W52" s="192">
        <f>J52*IFERROR(VLOOKUP(A52,[1]Tørstofindhold!A$2:B$25,2,FALSE),0)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55000000000000004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si="9"/>
        <v>#REF!</v>
      </c>
      <c r="O53" s="195" t="e">
        <f t="shared" si="1"/>
        <v>#REF!</v>
      </c>
      <c r="P53" s="205" t="e">
        <f t="shared" si="10"/>
        <v>#REF!</v>
      </c>
      <c r="Q53" s="192" t="e">
        <f>IFERROR(VLOOKUP(A53,[1]Energiindhold!$A$2:$C$11,3,FALSE),IFERROR(VLOOKUP(A53,[1]Biogasudbytte!$A$2:$B$18,2,FALSE)*[1]Energiindhold!$C$10,0))*O53</f>
        <v>#REF!</v>
      </c>
      <c r="R53" s="192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>IFERROR(VLOOKUP(A53,[1]Biogasudbytte!$A$2:$B$18,2,FALSE)*[1]Energiindhold!$C$10,0)*J53*IFERROR(VLOOKUP(A53,Biogasanlæg!$F$3:$G$8,2,FALSE),1)</f>
        <v>#REF!</v>
      </c>
      <c r="T53" s="193" t="e">
        <f t="shared" si="11"/>
        <v>#REF!</v>
      </c>
      <c r="U53" s="191" t="e">
        <f>O53*IFERROR(VLOOKUP(A53,[1]Tørstofindhold!A$2:B$25,2,FALSE),0)</f>
        <v>#REF!</v>
      </c>
      <c r="V53" s="192" t="e">
        <f>IF(D53=År1,P53,SUM(O53,P53))*IFERROR(VLOOKUP(A53,[1]Tørstofindhold!A$2:B$25,2,FALSE),0)</f>
        <v>#REF!</v>
      </c>
      <c r="W53" s="192" t="e">
        <f>J53*IFERROR(VLOOKUP(A53,[1]Tørstofindhold!A$2:B$25,2,FALSE),0)</f>
        <v>#REF!</v>
      </c>
      <c r="X53" s="193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55000000000000004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485178585.25343096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485178585.25343096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si="9"/>
        <v>0</v>
      </c>
      <c r="O54" s="195">
        <f t="shared" si="1"/>
        <v>0</v>
      </c>
      <c r="P54" s="205">
        <f t="shared" si="10"/>
        <v>485178585.25343096</v>
      </c>
      <c r="Q54" s="192">
        <f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>O54*IFERROR(VLOOKUP(A54,[1]Tørstofindhold!A$2:B$25,2,FALSE),0)</f>
        <v>0</v>
      </c>
      <c r="V54" s="192">
        <f>IF(D54=År1,P54,SUM(O54,P54))*IFERROR(VLOOKUP(A54,[1]Tørstofindhold!A$2:B$25,2,FALSE),0)</f>
        <v>0</v>
      </c>
      <c r="W54" s="192">
        <f>J54*IFERROR(VLOOKUP(A54,[1]Tørstofindhold!A$2:B$25,2,FALSE),0)</f>
        <v>0</v>
      </c>
      <c r="X54" s="193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55000000000000004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O55*IFERROR(VLOOKUP(A55,[1]Tørstofindhold!A$2:B$25,2,FALSE),0)</f>
        <v>0</v>
      </c>
      <c r="V55" s="192">
        <f>IF(D55=År1,P55,SUM(O55,P55))*IFERROR(VLOOKUP(A55,[1]Tørstofindhold!A$2:B$25,2,FALSE),0)</f>
        <v>0</v>
      </c>
      <c r="W55" s="192">
        <f>J55*IFERROR(VLOOKUP(A55,[1]Tørstofindhold!A$2:B$25,2,FALSE),0)</f>
        <v>0</v>
      </c>
      <c r="X55" s="193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55000000000000004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O56*IFERROR(VLOOKUP(A56,[1]Tørstofindhold!A$2:B$25,2,FALSE),0)</f>
        <v>0</v>
      </c>
      <c r="V56" s="192">
        <f>IF(D56=År1,P56,SUM(O56,P56))*IFERROR(VLOOKUP(A56,[1]Tørstofindhold!A$2:B$25,2,FALSE),0)</f>
        <v>0</v>
      </c>
      <c r="W56" s="192">
        <f>J56*IFERROR(VLOOKUP(A56,[1]Tørstofindhold!A$2:B$25,2,FALSE),0)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55000000000000004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O57*IFERROR(VLOOKUP(A57,[1]Tørstofindhold!A$2:B$25,2,FALSE),0)</f>
        <v>247290.58522062816</v>
      </c>
      <c r="V57" s="192">
        <f>IF(D57=År1,P57,SUM(O57,P57))*IFERROR(VLOOKUP(A57,[1]Tørstofindhold!A$2:B$25,2,FALSE),0)</f>
        <v>645229.45798945508</v>
      </c>
      <c r="W57" s="192">
        <f>J57*IFERROR(VLOOKUP(A57,[1]Tørstofindhold!A$2:B$25,2,FALSE),0)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55000000000000004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O58*IFERROR(VLOOKUP(A58,[1]Tørstofindhold!A$2:B$25,2,FALSE),0)</f>
        <v>0</v>
      </c>
      <c r="V58" s="192">
        <f>IF(D58=År1,P58,SUM(O58,P58))*IFERROR(VLOOKUP(A58,[1]Tørstofindhold!A$2:B$25,2,FALSE),0)</f>
        <v>0</v>
      </c>
      <c r="W58" s="192">
        <f>J58*IFERROR(VLOOKUP(A58,[1]Tørstofindhold!A$2:B$25,2,FALSE),0)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55000000000000004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O59*IFERROR(VLOOKUP(A59,[1]Tørstofindhold!A$2:B$25,2,FALSE),0)</f>
        <v>63.821854936922954</v>
      </c>
      <c r="V59" s="192">
        <f>IF(D59=År1,P59,SUM(O59,P59))*IFERROR(VLOOKUP(A59,[1]Tørstofindhold!A$2:B$25,2,FALSE),0)</f>
        <v>326.61772820660565</v>
      </c>
      <c r="W59" s="192">
        <f>J59*IFERROR(VLOOKUP(A59,[1]Tørstofindhold!A$2:B$25,2,FALSE),0)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x14ac:dyDescent="0.55000000000000004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O60*IFERROR(VLOOKUP(A60,[1]Tørstofindhold!A$2:B$25,2,FALSE),0)</f>
        <v>0</v>
      </c>
      <c r="V60" s="192">
        <f>IF(D60=År1,P60,SUM(O60,P60))*IFERROR(VLOOKUP(A60,[1]Tørstofindhold!A$2:B$25,2,FALSE),0)</f>
        <v>0</v>
      </c>
      <c r="W60" s="192">
        <f>J60*IFERROR(VLOOKUP(A60,[1]Tørstofindhold!A$2:B$25,2,FALSE),0)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55000000000000004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O61*IFERROR(VLOOKUP(A61,[1]Tørstofindhold!A$2:B$25,2,FALSE),0)</f>
        <v>0</v>
      </c>
      <c r="V61" s="192">
        <f>IF(D61=År1,P61,SUM(O61,P61))*IFERROR(VLOOKUP(A61,[1]Tørstofindhold!A$2:B$25,2,FALSE),0)</f>
        <v>0</v>
      </c>
      <c r="W61" s="192">
        <f>J61*IFERROR(VLOOKUP(A61,[1]Tørstofindhold!A$2:B$25,2,FALSE),0)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55000000000000004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O62*IFERROR(VLOOKUP(A62,[1]Tørstofindhold!A$2:B$25,2,FALSE),0)</f>
        <v>0</v>
      </c>
      <c r="V62" s="192">
        <f>IF(D62=År1,P62,SUM(O62,P62))*IFERROR(VLOOKUP(A62,[1]Tørstofindhold!A$2:B$25,2,FALSE),0)</f>
        <v>0</v>
      </c>
      <c r="W62" s="192">
        <f>J62*IFERROR(VLOOKUP(A62,[1]Tørstofindhold!A$2:B$25,2,FALSE),0)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55000000000000004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O63*IFERROR(VLOOKUP(A63,[1]Tørstofindhold!A$2:B$25,2,FALSE),0)</f>
        <v>0</v>
      </c>
      <c r="V63" s="192">
        <f>IF(D63=År1,P63,SUM(O63,P63))*IFERROR(VLOOKUP(A63,[1]Tørstofindhold!A$2:B$25,2,FALSE),0)</f>
        <v>102774.24</v>
      </c>
      <c r="W63" s="192">
        <f>J63*IFERROR(VLOOKUP(A63,[1]Tørstofindhold!A$2:B$25,2,FALSE),0)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55000000000000004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O64*IFERROR(VLOOKUP(A64,[1]Tørstofindhold!A$2:B$25,2,FALSE),0)</f>
        <v>1162016.6973759723</v>
      </c>
      <c r="V64" s="192">
        <f>IF(D64=År1,P64,SUM(O64,P64))*IFERROR(VLOOKUP(A64,[1]Tørstofindhold!A$2:B$25,2,FALSE),0)</f>
        <v>1183188.6340533185</v>
      </c>
      <c r="W64" s="192">
        <f>J64*IFERROR(VLOOKUP(A64,[1]Tørstofindhold!A$2:B$25,2,FALSE),0)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55000000000000004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O65*IFERROR(VLOOKUP(A65,[1]Tørstofindhold!A$2:B$25,2,FALSE),0)</f>
        <v>0</v>
      </c>
      <c r="V65" s="192">
        <f>IF(D65=År1,P65,SUM(O65,P65))*IFERROR(VLOOKUP(A65,[1]Tørstofindhold!A$2:B$25,2,FALSE),0)</f>
        <v>0</v>
      </c>
      <c r="W65" s="192">
        <f>J65*IFERROR(VLOOKUP(A65,[1]Tørstofindhold!A$2:B$25,2,FALSE),0)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55000000000000004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O66*IFERROR(VLOOKUP(A66,[1]Tørstofindhold!A$2:B$25,2,FALSE),0)</f>
        <v>0</v>
      </c>
      <c r="V66" s="192">
        <f>IF(D66=År1,P66,SUM(O66,P66))*IFERROR(VLOOKUP(A66,[1]Tørstofindhold!A$2:B$25,2,FALSE),0)</f>
        <v>0</v>
      </c>
      <c r="W66" s="192">
        <f>J66*IFERROR(VLOOKUP(A66,[1]Tørstofindhold!A$2:B$25,2,FALSE),0)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55000000000000004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O67*IFERROR(VLOOKUP(A67,[1]Tørstofindhold!A$2:B$25,2,FALSE),0)</f>
        <v>0</v>
      </c>
      <c r="V67" s="192">
        <f>IF(D67=År1,P67,SUM(O67,P67))*IFERROR(VLOOKUP(A67,[1]Tørstofindhold!A$2:B$25,2,FALSE),0)</f>
        <v>968254.92414087534</v>
      </c>
      <c r="W67" s="192">
        <f>J67*IFERROR(VLOOKUP(A67,[1]Tørstofindhold!A$2:B$25,2,FALSE),0)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O68*IFERROR(VLOOKUP(A68,[1]Tørstofindhold!A$2:B$25,2,FALSE),0)</f>
        <v>0</v>
      </c>
      <c r="V68" s="192">
        <f>IF(D68=År1,P68,SUM(O68,P68))*IFERROR(VLOOKUP(A68,[1]Tørstofindhold!A$2:B$25,2,FALSE),0)</f>
        <v>158020.23296051734</v>
      </c>
      <c r="W68" s="192">
        <f>J68*IFERROR(VLOOKUP(A68,[1]Tørstofindhold!A$2:B$25,2,FALSE),0)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55000000000000004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O69*IFERROR(VLOOKUP(A69,[1]Tørstofindhold!A$2:B$25,2,FALSE),0)</f>
        <v>0</v>
      </c>
      <c r="V69" s="192">
        <f>IF(D69=År1,P69,SUM(O69,P69))*IFERROR(VLOOKUP(A69,[1]Tørstofindhold!A$2:B$25,2,FALSE),0)</f>
        <v>0</v>
      </c>
      <c r="W69" s="192">
        <f>J69*IFERROR(VLOOKUP(A69,[1]Tørstofindhold!A$2:B$25,2,FALSE),0)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55000000000000004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2.0398283492009939</v>
      </c>
      <c r="S70" s="192">
        <f>IFERROR(VLOOKUP(A70,[1]Biogasudbytte!$A$2:$B$18,2,FALSE)*[1]Energiindhold!$C$10,0)*J70*IFERROR(VLOOKUP(A70,Biogasanlæg!$F$3:$G$8,2,FALSE),1)</f>
        <v>2.0398270913907153</v>
      </c>
      <c r="T70" s="193">
        <f t="shared" si="11"/>
        <v>1.2578102785987255E-6</v>
      </c>
      <c r="U70" s="191">
        <f>O70*IFERROR(VLOOKUP(A70,[1]Tørstofindhold!A$2:B$25,2,FALSE),0)</f>
        <v>0.12191656307782978</v>
      </c>
      <c r="V70" s="192">
        <f>IF(D70=År1,P70,SUM(O70,P70))*IFERROR(VLOOKUP(A70,[1]Tørstofindhold!A$2:B$25,2,FALSE),0)</f>
        <v>219684.11693071382</v>
      </c>
      <c r="W70" s="192">
        <f>J70*IFERROR(VLOOKUP(A70,[1]Tørstofindhold!A$2:B$25,2,FALSE),0)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55000000000000004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O71*IFERROR(VLOOKUP(A71,[1]Tørstofindhold!A$2:B$25,2,FALSE),0)</f>
        <v>0</v>
      </c>
      <c r="V71" s="192">
        <f>IF(D71=År1,P71,SUM(O71,P71))*IFERROR(VLOOKUP(A71,[1]Tørstofindhold!A$2:B$25,2,FALSE),0)</f>
        <v>0</v>
      </c>
      <c r="W71" s="192">
        <f>J71*IFERROR(VLOOKUP(A71,[1]Tørstofindhold!A$2:B$25,2,FALSE),0)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55000000000000004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O72*IFERROR(VLOOKUP(A72,[1]Tørstofindhold!A$2:B$25,2,FALSE),0)</f>
        <v>0</v>
      </c>
      <c r="V72" s="192">
        <f>IF(D72=År1,P72,SUM(O72,P72))*IFERROR(VLOOKUP(A72,[1]Tørstofindhold!A$2:B$25,2,FALSE),0)</f>
        <v>0</v>
      </c>
      <c r="W72" s="192">
        <f>J72*IFERROR(VLOOKUP(A72,[1]Tørstofindhold!A$2:B$25,2,FALSE),0)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55000000000000004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O73*IFERROR(VLOOKUP(A73,[1]Tørstofindhold!A$2:B$25,2,FALSE),0)</f>
        <v>307884.12028066954</v>
      </c>
      <c r="V73" s="192">
        <f>IF(D73=År1,P73,SUM(O73,P73))*IFERROR(VLOOKUP(A73,[1]Tørstofindhold!A$2:B$25,2,FALSE),0)</f>
        <v>308762.63962529838</v>
      </c>
      <c r="W73" s="192">
        <f>J73*IFERROR(VLOOKUP(A73,[1]Tørstofindhold!A$2:B$25,2,FALSE),0)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55000000000000004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O74*IFERROR(VLOOKUP(A74,[1]Tørstofindhold!A$2:B$25,2,FALSE),0)</f>
        <v>0</v>
      </c>
      <c r="V74" s="192">
        <f>IF(D74=År1,P74,SUM(O74,P74))*IFERROR(VLOOKUP(A74,[1]Tørstofindhold!A$2:B$25,2,FALSE),0)</f>
        <v>0</v>
      </c>
      <c r="W74" s="192">
        <f>J74*IFERROR(VLOOKUP(A74,[1]Tørstofindhold!A$2:B$25,2,FALSE),0)</f>
        <v>0</v>
      </c>
      <c r="X74" s="193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55000000000000004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O75*IFERROR(VLOOKUP(A75,[1]Tørstofindhold!A$2:B$25,2,FALSE),0)</f>
        <v>79926.405754983047</v>
      </c>
      <c r="V75" s="192">
        <f>IF(D75=År1,P75,SUM(O75,P75))*IFERROR(VLOOKUP(A75,[1]Tørstofindhold!A$2:B$25,2,FALSE),0)</f>
        <v>829853.17580173782</v>
      </c>
      <c r="W75" s="192">
        <f>J75*IFERROR(VLOOKUP(A75,[1]Tørstofindhold!A$2:B$25,2,FALSE),0)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x14ac:dyDescent="0.55000000000000004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O76*IFERROR(VLOOKUP(A76,[1]Tørstofindhold!A$2:B$25,2,FALSE),0)</f>
        <v>0</v>
      </c>
      <c r="V76" s="192">
        <f>IF(D76=År1,P76,SUM(O76,P76))*IFERROR(VLOOKUP(A76,[1]Tørstofindhold!A$2:B$25,2,FALSE),0)</f>
        <v>0</v>
      </c>
      <c r="W76" s="192">
        <f>J76*IFERROR(VLOOKUP(A76,[1]Tørstofindhold!A$2:B$25,2,FALSE),0)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55000000000000004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O77*IFERROR(VLOOKUP(A77,[1]Tørstofindhold!A$2:B$25,2,FALSE),0)</f>
        <v>507260.7225168352</v>
      </c>
      <c r="V77" s="192">
        <f>IF(D77=År1,P77,SUM(O77,P77))*IFERROR(VLOOKUP(A77,[1]Tørstofindhold!A$2:B$25,2,FALSE),0)</f>
        <v>601668.41656791279</v>
      </c>
      <c r="W77" s="192">
        <f>J77*IFERROR(VLOOKUP(A77,[1]Tørstofindhold!A$2:B$25,2,FALSE),0)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55000000000000004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O78*IFERROR(VLOOKUP(A78,[1]Tørstofindhold!A$2:B$25,2,FALSE),0)</f>
        <v>0</v>
      </c>
      <c r="V78" s="192">
        <f>IF(D78=År1,P78,SUM(O78,P78))*IFERROR(VLOOKUP(A78,[1]Tørstofindhold!A$2:B$25,2,FALSE),0)</f>
        <v>0</v>
      </c>
      <c r="W78" s="192">
        <f>J78*IFERROR(VLOOKUP(A78,[1]Tørstofindhold!A$2:B$25,2,FALSE),0)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55000000000000004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O79*IFERROR(VLOOKUP(A79,[1]Tørstofindhold!A$2:B$25,2,FALSE),0)</f>
        <v>21748.400817645732</v>
      </c>
      <c r="V79" s="192">
        <f>IF(D79=År1,P79,SUM(O79,P79))*IFERROR(VLOOKUP(A79,[1]Tørstofindhold!A$2:B$25,2,FALSE),0)</f>
        <v>21748.400817645732</v>
      </c>
      <c r="W79" s="192">
        <f>J79*IFERROR(VLOOKUP(A79,[1]Tørstofindhold!A$2:B$25,2,FALSE),0)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55000000000000004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O80*IFERROR(VLOOKUP(A80,[1]Tørstofindhold!A$2:B$25,2,FALSE),0)</f>
        <v>0</v>
      </c>
      <c r="V80" s="192">
        <f>IF(D80=År1,P80,SUM(O80,P80))*IFERROR(VLOOKUP(A80,[1]Tørstofindhold!A$2:B$25,2,FALSE),0)</f>
        <v>0</v>
      </c>
      <c r="W80" s="192">
        <f>J80*IFERROR(VLOOKUP(A80,[1]Tørstofindhold!A$2:B$25,2,FALSE),0)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55000000000000004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O81*IFERROR(VLOOKUP(A81,[1]Tørstofindhold!A$2:B$25,2,FALSE),0)</f>
        <v>0</v>
      </c>
      <c r="V81" s="192">
        <f>IF(D81=År1,P81,SUM(O81,P81))*IFERROR(VLOOKUP(A81,[1]Tørstofindhold!A$2:B$25,2,FALSE),0)</f>
        <v>0</v>
      </c>
      <c r="W81" s="192">
        <f>J81*IFERROR(VLOOKUP(A81,[1]Tørstofindhold!A$2:B$25,2,FALSE),0)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55000000000000004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O82*IFERROR(VLOOKUP(A82,[1]Tørstofindhold!A$2:B$25,2,FALSE),0)</f>
        <v>0</v>
      </c>
      <c r="V82" s="192">
        <f>IF(D82=År1,P82,SUM(O82,P82))*IFERROR(VLOOKUP(A82,[1]Tørstofindhold!A$2:B$25,2,FALSE),0)</f>
        <v>73669.333557261241</v>
      </c>
      <c r="W82" s="192">
        <f>J82*IFERROR(VLOOKUP(A82,[1]Tørstofindhold!A$2:B$25,2,FALSE),0)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55000000000000004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O83*IFERROR(VLOOKUP(A83,[1]Tørstofindhold!A$2:B$25,2,FALSE),0)</f>
        <v>0</v>
      </c>
      <c r="V83" s="192">
        <f>IF(D83=År1,P83,SUM(O83,P83))*IFERROR(VLOOKUP(A83,[1]Tørstofindhold!A$2:B$25,2,FALSE),0)</f>
        <v>0</v>
      </c>
      <c r="W83" s="192">
        <f>J83*IFERROR(VLOOKUP(A83,[1]Tørstofindhold!A$2:B$25,2,FALSE),0)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55000000000000004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O84*IFERROR(VLOOKUP(A84,[1]Tørstofindhold!A$2:B$25,2,FALSE),0)</f>
        <v>0</v>
      </c>
      <c r="V84" s="192">
        <f>IF(D84=År1,P84,SUM(O84,P84))*IFERROR(VLOOKUP(A84,[1]Tørstofindhold!A$2:B$25,2,FALSE),0)</f>
        <v>0</v>
      </c>
      <c r="W84" s="192">
        <f>J84*IFERROR(VLOOKUP(A84,[1]Tørstofindhold!A$2:B$25,2,FALSE),0)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55000000000000004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O85*IFERROR(VLOOKUP(A85,[1]Tørstofindhold!A$2:B$25,2,FALSE),0)</f>
        <v>0</v>
      </c>
      <c r="V85" s="192">
        <f>IF(D85=År1,P85,SUM(O85,P85))*IFERROR(VLOOKUP(A85,[1]Tørstofindhold!A$2:B$25,2,FALSE),0)</f>
        <v>0</v>
      </c>
      <c r="W85" s="192">
        <f>J85*IFERROR(VLOOKUP(A85,[1]Tørstofindhold!A$2:B$25,2,FALSE),0)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55000000000000004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O86*IFERROR(VLOOKUP(A86,[1]Tørstofindhold!A$2:B$25,2,FALSE),0)</f>
        <v>0</v>
      </c>
      <c r="V86" s="192">
        <f>IF(D86=År1,P86,SUM(O86,P86))*IFERROR(VLOOKUP(A86,[1]Tørstofindhold!A$2:B$25,2,FALSE),0)</f>
        <v>0</v>
      </c>
      <c r="W86" s="192">
        <f>J86*IFERROR(VLOOKUP(A86,[1]Tørstofindhold!A$2:B$25,2,FALSE),0)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55000000000000004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O87*IFERROR(VLOOKUP(A87,[1]Tørstofindhold!A$2:B$25,2,FALSE),0)</f>
        <v>0</v>
      </c>
      <c r="V87" s="192">
        <f>IF(D87=År1,P87,SUM(O87,P87))*IFERROR(VLOOKUP(A87,[1]Tørstofindhold!A$2:B$25,2,FALSE),0)</f>
        <v>0</v>
      </c>
      <c r="W87" s="192">
        <f>J87*IFERROR(VLOOKUP(A87,[1]Tørstofindhold!A$2:B$25,2,FALSE),0)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55000000000000004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O88*IFERROR(VLOOKUP(A88,[1]Tørstofindhold!A$2:B$25,2,FALSE),0)</f>
        <v>0</v>
      </c>
      <c r="V88" s="192">
        <f>IF(D88=År1,P88,SUM(O88,P88))*IFERROR(VLOOKUP(A88,[1]Tørstofindhold!A$2:B$25,2,FALSE),0)</f>
        <v>147868.65334075977</v>
      </c>
      <c r="W88" s="192">
        <f>J88*IFERROR(VLOOKUP(A88,[1]Tørstofindhold!A$2:B$25,2,FALSE),0)</f>
        <v>0</v>
      </c>
      <c r="X88" s="193">
        <f t="shared" si="26"/>
        <v>147868.65334075977</v>
      </c>
      <c r="Y88" s="171">
        <f t="shared" si="21"/>
        <v>0</v>
      </c>
      <c r="Z88" s="103">
        <f t="shared" si="22"/>
        <v>0</v>
      </c>
    </row>
    <row r="89" spans="1:26" x14ac:dyDescent="0.55000000000000004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O89*IFERROR(VLOOKUP(A89,[1]Tørstofindhold!A$2:B$25,2,FALSE),0)</f>
        <v>0</v>
      </c>
      <c r="V89" s="192">
        <f>IF(D89=År1,P89,SUM(O89,P89))*IFERROR(VLOOKUP(A89,[1]Tørstofindhold!A$2:B$25,2,FALSE),0)</f>
        <v>815.14415665471631</v>
      </c>
      <c r="W89" s="192">
        <f>J89*IFERROR(VLOOKUP(A89,[1]Tørstofindhold!A$2:B$25,2,FALSE),0)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55000000000000004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O90*IFERROR(VLOOKUP(A90,[1]Tørstofindhold!A$2:B$25,2,FALSE),0)</f>
        <v>0</v>
      </c>
      <c r="V90" s="192">
        <f>IF(D90=År1,P90,SUM(O90,P90))*IFERROR(VLOOKUP(A90,[1]Tørstofindhold!A$2:B$25,2,FALSE),0)</f>
        <v>0</v>
      </c>
      <c r="W90" s="192">
        <f>J90*IFERROR(VLOOKUP(A90,[1]Tørstofindhold!A$2:B$25,2,FALSE),0)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55000000000000004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O91*IFERROR(VLOOKUP(A91,[1]Tørstofindhold!A$2:B$25,2,FALSE),0)</f>
        <v>0</v>
      </c>
      <c r="V91" s="192">
        <f>IF(D91=År1,P91,SUM(O91,P91))*IFERROR(VLOOKUP(A91,[1]Tørstofindhold!A$2:B$25,2,FALSE),0)</f>
        <v>0</v>
      </c>
      <c r="W91" s="192">
        <f>J91*IFERROR(VLOOKUP(A91,[1]Tørstofindhold!A$2:B$25,2,FALSE),0)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55000000000000004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O92*IFERROR(VLOOKUP(A92,[1]Tørstofindhold!A$2:B$25,2,FALSE),0)</f>
        <v>148008.59070735812</v>
      </c>
      <c r="V92" s="192">
        <f>IF(D92=År1,P92,SUM(O92,P92))*IFERROR(VLOOKUP(A92,[1]Tørstofindhold!A$2:B$25,2,FALSE),0)</f>
        <v>238434.65985028198</v>
      </c>
      <c r="W92" s="192">
        <f>J92*IFERROR(VLOOKUP(A92,[1]Tørstofindhold!A$2:B$25,2,FALSE),0)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55000000000000004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O93*IFERROR(VLOOKUP(A93,[1]Tørstofindhold!A$2:B$25,2,FALSE),0)</f>
        <v>0</v>
      </c>
      <c r="V93" s="192">
        <f>IF(D93=År1,P93,SUM(O93,P93))*IFERROR(VLOOKUP(A93,[1]Tørstofindhold!A$2:B$25,2,FALSE),0)</f>
        <v>399483.0791608484</v>
      </c>
      <c r="W93" s="192">
        <f>J93*IFERROR(VLOOKUP(A93,[1]Tørstofindhold!A$2:B$25,2,FALSE),0)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55000000000000004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O94*IFERROR(VLOOKUP(A94,[1]Tørstofindhold!A$2:B$25,2,FALSE),0)</f>
        <v>0</v>
      </c>
      <c r="V94" s="192">
        <f>IF(D94=År1,P94,SUM(O94,P94))*IFERROR(VLOOKUP(A94,[1]Tørstofindhold!A$2:B$25,2,FALSE),0)</f>
        <v>0</v>
      </c>
      <c r="W94" s="192">
        <f>J94*IFERROR(VLOOKUP(A94,[1]Tørstofindhold!A$2:B$25,2,FALSE),0)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55000000000000004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O95*IFERROR(VLOOKUP(A95,[1]Tørstofindhold!A$2:B$25,2,FALSE),0)</f>
        <v>1620</v>
      </c>
      <c r="V95" s="192">
        <f>IF(D95=År1,P95,SUM(O95,P95))*IFERROR(VLOOKUP(A95,[1]Tørstofindhold!A$2:B$25,2,FALSE),0)</f>
        <v>1620</v>
      </c>
      <c r="W95" s="192">
        <f>J95*IFERROR(VLOOKUP(A95,[1]Tørstofindhold!A$2:B$25,2,FALSE),0)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55000000000000004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O96*IFERROR(VLOOKUP(A96,[1]Tørstofindhold!A$2:B$25,2,FALSE),0)</f>
        <v>0</v>
      </c>
      <c r="V96" s="192">
        <f>IF(D96=År1,P96,SUM(O96,P96))*IFERROR(VLOOKUP(A96,[1]Tørstofindhold!A$2:B$25,2,FALSE),0)</f>
        <v>0</v>
      </c>
      <c r="W96" s="192">
        <f>J96*IFERROR(VLOOKUP(A96,[1]Tørstofindhold!A$2:B$25,2,FALSE),0)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55000000000000004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O97*IFERROR(VLOOKUP(A97,[1]Tørstofindhold!A$2:B$25,2,FALSE),0)</f>
        <v>0</v>
      </c>
      <c r="V97" s="192">
        <f>IF(D97=År1,P97,SUM(O97,P97))*IFERROR(VLOOKUP(A97,[1]Tørstofindhold!A$2:B$25,2,FALSE),0)</f>
        <v>1089920.7111703621</v>
      </c>
      <c r="W97" s="192">
        <f>J97*IFERROR(VLOOKUP(A97,[1]Tørstofindhold!A$2:B$25,2,FALSE),0)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55000000000000004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O98*IFERROR(VLOOKUP(A98,[1]Tørstofindhold!A$2:B$25,2,FALSE),0)</f>
        <v>0</v>
      </c>
      <c r="V98" s="192">
        <f>IF(D98=År1,P98,SUM(O98,P98))*IFERROR(VLOOKUP(A98,[1]Tørstofindhold!A$2:B$25,2,FALSE),0)</f>
        <v>0</v>
      </c>
      <c r="W98" s="192">
        <f>J98*IFERROR(VLOOKUP(A98,[1]Tørstofindhold!A$2:B$25,2,FALSE),0)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55000000000000004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O99*IFERROR(VLOOKUP(A99,[1]Tørstofindhold!A$2:B$25,2,FALSE),0)</f>
        <v>0</v>
      </c>
      <c r="V99" s="192">
        <f>IF(D99=År1,P99,SUM(O99,P99))*IFERROR(VLOOKUP(A99,[1]Tørstofindhold!A$2:B$25,2,FALSE),0)</f>
        <v>0</v>
      </c>
      <c r="W99" s="192">
        <f>J99*IFERROR(VLOOKUP(A99,[1]Tørstofindhold!A$2:B$25,2,FALSE),0)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55000000000000004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O100*IFERROR(VLOOKUP(A100,[1]Tørstofindhold!A$2:B$25,2,FALSE),0)</f>
        <v>0</v>
      </c>
      <c r="V100" s="192">
        <f>IF(D100=År1,P100,SUM(O100,P100))*IFERROR(VLOOKUP(A100,[1]Tørstofindhold!A$2:B$25,2,FALSE),0)</f>
        <v>0</v>
      </c>
      <c r="W100" s="192">
        <f>J100*IFERROR(VLOOKUP(A100,[1]Tørstofindhold!A$2:B$25,2,FALSE),0)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55000000000000004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si="23"/>
        <v>#REF!</v>
      </c>
      <c r="O101" s="195" t="e">
        <f t="shared" si="20"/>
        <v>#REF!</v>
      </c>
      <c r="P101" s="205" t="e">
        <f t="shared" si="24"/>
        <v>#REF!</v>
      </c>
      <c r="Q101" s="192" t="e">
        <f>IFERROR(VLOOKUP(A101,[1]Energiindhold!$A$2:$C$11,3,FALSE),IFERROR(VLOOKUP(A101,[1]Biogasudbytte!$A$2:$B$18,2,FALSE)*[1]Energiindhold!$C$10,0))*O101</f>
        <v>#REF!</v>
      </c>
      <c r="R101" s="192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>IFERROR(VLOOKUP(A101,[1]Biogasudbytte!$A$2:$B$18,2,FALSE)*[1]Energiindhold!$C$10,0)*J101*IFERROR(VLOOKUP(A101,Biogasanlæg!$F$3:$G$8,2,FALSE),1)</f>
        <v>#REF!</v>
      </c>
      <c r="T101" s="193" t="e">
        <f t="shared" si="25"/>
        <v>#REF!</v>
      </c>
      <c r="U101" s="191" t="e">
        <f>O101*IFERROR(VLOOKUP(A101,[1]Tørstofindhold!A$2:B$25,2,FALSE),0)</f>
        <v>#REF!</v>
      </c>
      <c r="V101" s="192" t="e">
        <f>IF(D101=År1,P101,SUM(O101,P101))*IFERROR(VLOOKUP(A101,[1]Tørstofindhold!A$2:B$25,2,FALSE),0)</f>
        <v>#REF!</v>
      </c>
      <c r="W101" s="192" t="e">
        <f>J101*IFERROR(VLOOKUP(A101,[1]Tørstofindhold!A$2:B$25,2,FALSE),0)</f>
        <v>#REF!</v>
      </c>
      <c r="X101" s="193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55000000000000004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482524291.71369433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482524291.71369433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si="23"/>
        <v>0</v>
      </c>
      <c r="O102" s="195">
        <f t="shared" si="20"/>
        <v>0</v>
      </c>
      <c r="P102" s="205">
        <f t="shared" si="24"/>
        <v>482524291.71369433</v>
      </c>
      <c r="Q102" s="192">
        <f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>O102*IFERROR(VLOOKUP(A102,[1]Tørstofindhold!A$2:B$25,2,FALSE),0)</f>
        <v>0</v>
      </c>
      <c r="V102" s="192">
        <f>IF(D102=År1,P102,SUM(O102,P102))*IFERROR(VLOOKUP(A102,[1]Tørstofindhold!A$2:B$25,2,FALSE),0)</f>
        <v>0</v>
      </c>
      <c r="W102" s="192">
        <f>J102*IFERROR(VLOOKUP(A102,[1]Tørstofindhold!A$2:B$25,2,FALSE),0)</f>
        <v>0</v>
      </c>
      <c r="X102" s="193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55000000000000004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O103*IFERROR(VLOOKUP(A103,[1]Tørstofindhold!A$2:B$25,2,FALSE),0)</f>
        <v>0</v>
      </c>
      <c r="V103" s="192">
        <f>IF(D103=År1,P103,SUM(O103,P103))*IFERROR(VLOOKUP(A103,[1]Tørstofindhold!A$2:B$25,2,FALSE),0)</f>
        <v>0</v>
      </c>
      <c r="W103" s="192">
        <f>J103*IFERROR(VLOOKUP(A103,[1]Tørstofindhold!A$2:B$25,2,FALSE),0)</f>
        <v>0</v>
      </c>
      <c r="X103" s="193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55000000000000004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O104*IFERROR(VLOOKUP(A104,[1]Tørstofindhold!A$2:B$25,2,FALSE),0)</f>
        <v>0</v>
      </c>
      <c r="V104" s="192">
        <f>IF(D104=År1,P104,SUM(O104,P104))*IFERROR(VLOOKUP(A104,[1]Tørstofindhold!A$2:B$25,2,FALSE),0)</f>
        <v>0</v>
      </c>
      <c r="W104" s="192">
        <f>J104*IFERROR(VLOOKUP(A104,[1]Tørstofindhold!A$2:B$25,2,FALSE),0)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55000000000000004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O105*IFERROR(VLOOKUP(A105,[1]Tørstofindhold!A$2:B$25,2,FALSE),0)</f>
        <v>258947.20961668508</v>
      </c>
      <c r="V105" s="192">
        <f>IF(D105=År1,P105,SUM(O105,P105))*IFERROR(VLOOKUP(A105,[1]Tørstofindhold!A$2:B$25,2,FALSE),0)</f>
        <v>675643.8687699713</v>
      </c>
      <c r="W105" s="192">
        <f>J105*IFERROR(VLOOKUP(A105,[1]Tørstofindhold!A$2:B$25,2,FALSE),0)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55000000000000004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O106*IFERROR(VLOOKUP(A106,[1]Tørstofindhold!A$2:B$25,2,FALSE),0)</f>
        <v>0</v>
      </c>
      <c r="V106" s="192">
        <f>IF(D106=År1,P106,SUM(O106,P106))*IFERROR(VLOOKUP(A106,[1]Tørstofindhold!A$2:B$25,2,FALSE),0)</f>
        <v>0</v>
      </c>
      <c r="W106" s="192">
        <f>J106*IFERROR(VLOOKUP(A106,[1]Tørstofindhold!A$2:B$25,2,FALSE),0)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55000000000000004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3261.5941520826309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1046.1717091585797</v>
      </c>
      <c r="O107" s="195">
        <f t="shared" si="20"/>
        <v>1046.1717091585797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4.9200409310018846E-4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2.5179032999833174E-3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4.9200409310018846E-4</v>
      </c>
      <c r="U107" s="191">
        <f>O107*IFERROR(VLOOKUP(A107,[1]Tørstofindhold!A$2:B$25,2,FALSE),0)</f>
        <v>65.908817676990523</v>
      </c>
      <c r="V107" s="192">
        <f>IF(D107=År1,P107,SUM(O107,P107))*IFERROR(VLOOKUP(A107,[1]Tørstofindhold!A$2:B$25,2,FALSE),0)</f>
        <v>337.2980669351868</v>
      </c>
      <c r="W107" s="192">
        <f>J107*IFERROR(VLOOKUP(A107,[1]Tørstofindhold!A$2:B$25,2,FALSE),0)</f>
        <v>271.38924925819629</v>
      </c>
      <c r="X107" s="193">
        <f t="shared" si="26"/>
        <v>65.908817676990509</v>
      </c>
      <c r="Y107" s="171">
        <f t="shared" si="21"/>
        <v>0</v>
      </c>
      <c r="Z107" s="103">
        <f t="shared" si="22"/>
        <v>1</v>
      </c>
    </row>
    <row r="108" spans="1:26" x14ac:dyDescent="0.55000000000000004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O108*IFERROR(VLOOKUP(A108,[1]Tørstofindhold!A$2:B$25,2,FALSE),0)</f>
        <v>0</v>
      </c>
      <c r="V108" s="192">
        <f>IF(D108=År1,P108,SUM(O108,P108))*IFERROR(VLOOKUP(A108,[1]Tørstofindhold!A$2:B$25,2,FALSE),0)</f>
        <v>0</v>
      </c>
      <c r="W108" s="192">
        <f>J108*IFERROR(VLOOKUP(A108,[1]Tørstofindhold!A$2:B$25,2,FALSE),0)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55000000000000004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O109*IFERROR(VLOOKUP(A109,[1]Tørstofindhold!A$2:B$25,2,FALSE),0)</f>
        <v>0</v>
      </c>
      <c r="V109" s="192">
        <f>IF(D109=År1,P109,SUM(O109,P109))*IFERROR(VLOOKUP(A109,[1]Tørstofindhold!A$2:B$25,2,FALSE),0)</f>
        <v>0</v>
      </c>
      <c r="W109" s="192">
        <f>J109*IFERROR(VLOOKUP(A109,[1]Tørstofindhold!A$2:B$25,2,FALSE),0)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55000000000000004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O110*IFERROR(VLOOKUP(A110,[1]Tørstofindhold!A$2:B$25,2,FALSE),0)</f>
        <v>0</v>
      </c>
      <c r="V110" s="192">
        <f>IF(D110=År1,P110,SUM(O110,P110))*IFERROR(VLOOKUP(A110,[1]Tørstofindhold!A$2:B$25,2,FALSE),0)</f>
        <v>0</v>
      </c>
      <c r="W110" s="192">
        <f>J110*IFERROR(VLOOKUP(A110,[1]Tørstofindhold!A$2:B$25,2,FALSE),0)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55000000000000004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O111*IFERROR(VLOOKUP(A111,[1]Tørstofindhold!A$2:B$25,2,FALSE),0)</f>
        <v>0</v>
      </c>
      <c r="V111" s="192">
        <f>IF(D111=År1,P111,SUM(O111,P111))*IFERROR(VLOOKUP(A111,[1]Tørstofindhold!A$2:B$25,2,FALSE),0)</f>
        <v>102774.24</v>
      </c>
      <c r="W111" s="192">
        <f>J111*IFERROR(VLOOKUP(A111,[1]Tørstofindhold!A$2:B$25,2,FALSE),0)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55000000000000004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O112*IFERROR(VLOOKUP(A112,[1]Tørstofindhold!A$2:B$25,2,FALSE),0)</f>
        <v>1060299.1248603666</v>
      </c>
      <c r="V112" s="192">
        <f>IF(D112=År1,P112,SUM(O112,P112))*IFERROR(VLOOKUP(A112,[1]Tørstofindhold!A$2:B$25,2,FALSE),0)</f>
        <v>1081446.6998903584</v>
      </c>
      <c r="W112" s="192">
        <f>J112*IFERROR(VLOOKUP(A112,[1]Tørstofindhold!A$2:B$25,2,FALSE),0)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55000000000000004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O113*IFERROR(VLOOKUP(A113,[1]Tørstofindhold!A$2:B$25,2,FALSE),0)</f>
        <v>0</v>
      </c>
      <c r="V113" s="192">
        <f>IF(D113=År1,P113,SUM(O113,P113))*IFERROR(VLOOKUP(A113,[1]Tørstofindhold!A$2:B$25,2,FALSE),0)</f>
        <v>0</v>
      </c>
      <c r="W113" s="192">
        <f>J113*IFERROR(VLOOKUP(A113,[1]Tørstofindhold!A$2:B$25,2,FALSE),0)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55000000000000004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O114*IFERROR(VLOOKUP(A114,[1]Tørstofindhold!A$2:B$25,2,FALSE),0)</f>
        <v>0</v>
      </c>
      <c r="V114" s="192">
        <f>IF(D114=År1,P114,SUM(O114,P114))*IFERROR(VLOOKUP(A114,[1]Tørstofindhold!A$2:B$25,2,FALSE),0)</f>
        <v>0</v>
      </c>
      <c r="W114" s="192">
        <f>J114*IFERROR(VLOOKUP(A114,[1]Tørstofindhold!A$2:B$25,2,FALSE),0)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55000000000000004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O115*IFERROR(VLOOKUP(A115,[1]Tørstofindhold!A$2:B$25,2,FALSE),0)</f>
        <v>0</v>
      </c>
      <c r="V115" s="192">
        <f>IF(D115=År1,P115,SUM(O115,P115))*IFERROR(VLOOKUP(A115,[1]Tørstofindhold!A$2:B$25,2,FALSE),0)</f>
        <v>898433.02703945397</v>
      </c>
      <c r="W115" s="192">
        <f>J115*IFERROR(VLOOKUP(A115,[1]Tørstofindhold!A$2:B$25,2,FALSE),0)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55000000000000004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O116*IFERROR(VLOOKUP(A116,[1]Tørstofindhold!A$2:B$25,2,FALSE),0)</f>
        <v>0</v>
      </c>
      <c r="V116" s="192">
        <f>IF(D116=År1,P116,SUM(O116,P116))*IFERROR(VLOOKUP(A116,[1]Tørstofindhold!A$2:B$25,2,FALSE),0)</f>
        <v>157464.59251181944</v>
      </c>
      <c r="W116" s="192">
        <f>J116*IFERROR(VLOOKUP(A116,[1]Tørstofindhold!A$2:B$25,2,FALSE),0)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55000000000000004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O117*IFERROR(VLOOKUP(A117,[1]Tørstofindhold!A$2:B$25,2,FALSE),0)</f>
        <v>0</v>
      </c>
      <c r="V117" s="192">
        <f>IF(D117=År1,P117,SUM(O117,P117))*IFERROR(VLOOKUP(A117,[1]Tørstofindhold!A$2:B$25,2,FALSE),0)</f>
        <v>0</v>
      </c>
      <c r="W117" s="192">
        <f>J117*IFERROR(VLOOKUP(A117,[1]Tørstofindhold!A$2:B$25,2,FALSE),0)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55000000000000004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2.0267237924355821</v>
      </c>
      <c r="S118" s="192">
        <f>IFERROR(VLOOKUP(A118,[1]Biogasudbytte!$A$2:$B$18,2,FALSE)*[1]Energiindhold!$C$10,0)*J118*IFERROR(VLOOKUP(A118,Biogasanlæg!$F$3:$G$8,2,FALSE),1)</f>
        <v>2.0267237924355821</v>
      </c>
      <c r="T118" s="193">
        <f t="shared" si="25"/>
        <v>0</v>
      </c>
      <c r="U118" s="191">
        <f>O118*IFERROR(VLOOKUP(A118,[1]Tørstofindhold!A$2:B$25,2,FALSE),0)</f>
        <v>0</v>
      </c>
      <c r="V118" s="192">
        <f>IF(D118=År1,P118,SUM(O118,P118))*IFERROR(VLOOKUP(A118,[1]Tørstofindhold!A$2:B$25,2,FALSE),0)</f>
        <v>218272.80429387951</v>
      </c>
      <c r="W118" s="192">
        <f>J118*IFERROR(VLOOKUP(A118,[1]Tørstofindhold!A$2:B$25,2,FALSE),0)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55000000000000004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O119*IFERROR(VLOOKUP(A119,[1]Tørstofindhold!A$2:B$25,2,FALSE),0)</f>
        <v>0</v>
      </c>
      <c r="V119" s="192">
        <f>IF(D119=År1,P119,SUM(O119,P119))*IFERROR(VLOOKUP(A119,[1]Tørstofindhold!A$2:B$25,2,FALSE),0)</f>
        <v>0</v>
      </c>
      <c r="W119" s="192">
        <f>J119*IFERROR(VLOOKUP(A119,[1]Tørstofindhold!A$2:B$25,2,FALSE),0)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55000000000000004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O120*IFERROR(VLOOKUP(A120,[1]Tørstofindhold!A$2:B$25,2,FALSE),0)</f>
        <v>0</v>
      </c>
      <c r="V120" s="192">
        <f>IF(D120=År1,P120,SUM(O120,P120))*IFERROR(VLOOKUP(A120,[1]Tørstofindhold!A$2:B$25,2,FALSE),0)</f>
        <v>0</v>
      </c>
      <c r="W120" s="192">
        <f>J120*IFERROR(VLOOKUP(A120,[1]Tørstofindhold!A$2:B$25,2,FALSE),0)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55000000000000004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O121*IFERROR(VLOOKUP(A121,[1]Tørstofindhold!A$2:B$25,2,FALSE),0)</f>
        <v>234384.23277917522</v>
      </c>
      <c r="V121" s="192">
        <f>IF(D121=År1,P121,SUM(O121,P121))*IFERROR(VLOOKUP(A121,[1]Tørstofindhold!A$2:B$25,2,FALSE),0)</f>
        <v>235260.21714590353</v>
      </c>
      <c r="W121" s="192">
        <f>J121*IFERROR(VLOOKUP(A121,[1]Tørstofindhold!A$2:B$25,2,FALSE),0)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55000000000000004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O122*IFERROR(VLOOKUP(A122,[1]Tørstofindhold!A$2:B$25,2,FALSE),0)</f>
        <v>0</v>
      </c>
      <c r="V122" s="192">
        <f>IF(D122=År1,P122,SUM(O122,P122))*IFERROR(VLOOKUP(A122,[1]Tørstofindhold!A$2:B$25,2,FALSE),0)</f>
        <v>0</v>
      </c>
      <c r="W122" s="192">
        <f>J122*IFERROR(VLOOKUP(A122,[1]Tørstofindhold!A$2:B$25,2,FALSE),0)</f>
        <v>0</v>
      </c>
      <c r="X122" s="193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55000000000000004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2024929.6339054219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1031567.9267065357</v>
      </c>
      <c r="O123" s="195">
        <f t="shared" si="20"/>
        <v>1031567.9267065357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0.52216936881958143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5.4215362861391103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0.52216936881958187</v>
      </c>
      <c r="U123" s="191">
        <f>O123*IFERROR(VLOOKUP(A123,[1]Tørstofindhold!A$2:B$25,2,FALSE),0)</f>
        <v>78399.16242969672</v>
      </c>
      <c r="V123" s="192">
        <f>IF(D123=År1,P123,SUM(O123,P123))*IFERROR(VLOOKUP(A123,[1]Tørstofindhold!A$2:B$25,2,FALSE),0)</f>
        <v>813996.24201697449</v>
      </c>
      <c r="W123" s="192">
        <f>J123*IFERROR(VLOOKUP(A123,[1]Tørstofindhold!A$2:B$25,2,FALSE),0)</f>
        <v>735597.07958727772</v>
      </c>
      <c r="X123" s="193">
        <f t="shared" si="26"/>
        <v>78399.162429696764</v>
      </c>
      <c r="Y123" s="171">
        <f t="shared" si="21"/>
        <v>0</v>
      </c>
      <c r="Z123" s="103">
        <f t="shared" si="22"/>
        <v>1</v>
      </c>
    </row>
    <row r="124" spans="1:26" x14ac:dyDescent="0.55000000000000004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O124*IFERROR(VLOOKUP(A124,[1]Tørstofindhold!A$2:B$25,2,FALSE),0)</f>
        <v>0</v>
      </c>
      <c r="V124" s="192">
        <f>IF(D124=År1,P124,SUM(O124,P124))*IFERROR(VLOOKUP(A124,[1]Tørstofindhold!A$2:B$25,2,FALSE),0)</f>
        <v>0</v>
      </c>
      <c r="W124" s="192">
        <f>J124*IFERROR(VLOOKUP(A124,[1]Tørstofindhold!A$2:B$25,2,FALSE),0)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55000000000000004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O125*IFERROR(VLOOKUP(A125,[1]Tørstofindhold!A$2:B$25,2,FALSE),0)</f>
        <v>446659.5700016304</v>
      </c>
      <c r="V125" s="192">
        <f>IF(D125=År1,P125,SUM(O125,P125))*IFERROR(VLOOKUP(A125,[1]Tørstofindhold!A$2:B$25,2,FALSE),0)</f>
        <v>541017.10737547115</v>
      </c>
      <c r="W125" s="192">
        <f>J125*IFERROR(VLOOKUP(A125,[1]Tørstofindhold!A$2:B$25,2,FALSE),0)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55000000000000004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O126*IFERROR(VLOOKUP(A126,[1]Tørstofindhold!A$2:B$25,2,FALSE),0)</f>
        <v>0</v>
      </c>
      <c r="V126" s="192">
        <f>IF(D126=År1,P126,SUM(O126,P126))*IFERROR(VLOOKUP(A126,[1]Tørstofindhold!A$2:B$25,2,FALSE),0)</f>
        <v>0</v>
      </c>
      <c r="W126" s="192">
        <f>J126*IFERROR(VLOOKUP(A126,[1]Tørstofindhold!A$2:B$25,2,FALSE),0)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55000000000000004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O127*IFERROR(VLOOKUP(A127,[1]Tørstofindhold!A$2:B$25,2,FALSE),0)</f>
        <v>29214.269755046505</v>
      </c>
      <c r="V127" s="192">
        <f>IF(D127=År1,P127,SUM(O127,P127))*IFERROR(VLOOKUP(A127,[1]Tørstofindhold!A$2:B$25,2,FALSE),0)</f>
        <v>29214.269755046505</v>
      </c>
      <c r="W127" s="192">
        <f>J127*IFERROR(VLOOKUP(A127,[1]Tørstofindhold!A$2:B$25,2,FALSE),0)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55000000000000004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O128*IFERROR(VLOOKUP(A128,[1]Tørstofindhold!A$2:B$25,2,FALSE),0)</f>
        <v>0</v>
      </c>
      <c r="V128" s="192">
        <f>IF(D128=År1,P128,SUM(O128,P128))*IFERROR(VLOOKUP(A128,[1]Tørstofindhold!A$2:B$25,2,FALSE),0)</f>
        <v>0</v>
      </c>
      <c r="W128" s="192">
        <f>J128*IFERROR(VLOOKUP(A128,[1]Tørstofindhold!A$2:B$25,2,FALSE),0)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55000000000000004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O129*IFERROR(VLOOKUP(A129,[1]Tørstofindhold!A$2:B$25,2,FALSE),0)</f>
        <v>0</v>
      </c>
      <c r="V129" s="192">
        <f>IF(D129=År1,P129,SUM(O129,P129))*IFERROR(VLOOKUP(A129,[1]Tørstofindhold!A$2:B$25,2,FALSE),0)</f>
        <v>0</v>
      </c>
      <c r="W129" s="192">
        <f>J129*IFERROR(VLOOKUP(A129,[1]Tørstofindhold!A$2:B$25,2,FALSE),0)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55000000000000004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O130*IFERROR(VLOOKUP(A130,[1]Tørstofindhold!A$2:B$25,2,FALSE),0)</f>
        <v>0</v>
      </c>
      <c r="V130" s="192">
        <f>IF(D130=År1,P130,SUM(O130,P130))*IFERROR(VLOOKUP(A130,[1]Tørstofindhold!A$2:B$25,2,FALSE),0)</f>
        <v>71286.674420262352</v>
      </c>
      <c r="W130" s="192">
        <f>J130*IFERROR(VLOOKUP(A130,[1]Tørstofindhold!A$2:B$25,2,FALSE),0)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55000000000000004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O131*IFERROR(VLOOKUP(A131,[1]Tørstofindhold!A$2:B$25,2,FALSE),0)</f>
        <v>0</v>
      </c>
      <c r="V131" s="192">
        <f>IF(D131=År1,P131,SUM(O131,P131))*IFERROR(VLOOKUP(A131,[1]Tørstofindhold!A$2:B$25,2,FALSE),0)</f>
        <v>0</v>
      </c>
      <c r="W131" s="192">
        <f>J131*IFERROR(VLOOKUP(A131,[1]Tørstofindhold!A$2:B$25,2,FALSE),0)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55000000000000004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O132*IFERROR(VLOOKUP(A132,[1]Tørstofindhold!A$2:B$25,2,FALSE),0)</f>
        <v>0</v>
      </c>
      <c r="V132" s="192">
        <f>IF(D132=År1,P132,SUM(O132,P132))*IFERROR(VLOOKUP(A132,[1]Tørstofindhold!A$2:B$25,2,FALSE),0)</f>
        <v>0</v>
      </c>
      <c r="W132" s="192">
        <f>J132*IFERROR(VLOOKUP(A132,[1]Tørstofindhold!A$2:B$25,2,FALSE),0)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55000000000000004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O133*IFERROR(VLOOKUP(A133,[1]Tørstofindhold!A$2:B$25,2,FALSE),0)</f>
        <v>0</v>
      </c>
      <c r="V133" s="192">
        <f>IF(D133=År1,P133,SUM(O133,P133))*IFERROR(VLOOKUP(A133,[1]Tørstofindhold!A$2:B$25,2,FALSE),0)</f>
        <v>0</v>
      </c>
      <c r="W133" s="192">
        <f>J133*IFERROR(VLOOKUP(A133,[1]Tørstofindhold!A$2:B$25,2,FALSE),0)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55000000000000004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O134*IFERROR(VLOOKUP(A134,[1]Tørstofindhold!A$2:B$25,2,FALSE),0)</f>
        <v>0</v>
      </c>
      <c r="V134" s="192">
        <f>IF(D134=År1,P134,SUM(O134,P134))*IFERROR(VLOOKUP(A134,[1]Tørstofindhold!A$2:B$25,2,FALSE),0)</f>
        <v>0</v>
      </c>
      <c r="W134" s="192">
        <f>J134*IFERROR(VLOOKUP(A134,[1]Tørstofindhold!A$2:B$25,2,FALSE),0)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55000000000000004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O135*IFERROR(VLOOKUP(A135,[1]Tørstofindhold!A$2:B$25,2,FALSE),0)</f>
        <v>0</v>
      </c>
      <c r="V135" s="192">
        <f>IF(D135=År1,P135,SUM(O135,P135))*IFERROR(VLOOKUP(A135,[1]Tørstofindhold!A$2:B$25,2,FALSE),0)</f>
        <v>0</v>
      </c>
      <c r="W135" s="192">
        <f>J135*IFERROR(VLOOKUP(A135,[1]Tørstofindhold!A$2:B$25,2,FALSE),0)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55000000000000004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O136*IFERROR(VLOOKUP(A136,[1]Tørstofindhold!A$2:B$25,2,FALSE),0)</f>
        <v>0</v>
      </c>
      <c r="V136" s="192">
        <f>IF(D136=År1,P136,SUM(O136,P136))*IFERROR(VLOOKUP(A136,[1]Tørstofindhold!A$2:B$25,2,FALSE),0)</f>
        <v>142408.43551973673</v>
      </c>
      <c r="W136" s="192">
        <f>J136*IFERROR(VLOOKUP(A136,[1]Tørstofindhold!A$2:B$25,2,FALSE),0)</f>
        <v>0</v>
      </c>
      <c r="X136" s="193">
        <f t="shared" si="26"/>
        <v>142408.43551973673</v>
      </c>
      <c r="Y136" s="171">
        <f t="shared" si="43"/>
        <v>0</v>
      </c>
      <c r="Z136" s="103">
        <f t="shared" si="44"/>
        <v>0</v>
      </c>
    </row>
    <row r="137" spans="1:26" x14ac:dyDescent="0.55000000000000004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O137*IFERROR(VLOOKUP(A137,[1]Tørstofindhold!A$2:B$25,2,FALSE),0)</f>
        <v>0</v>
      </c>
      <c r="V137" s="192">
        <f>IF(D137=År1,P137,SUM(O137,P137))*IFERROR(VLOOKUP(A137,[1]Tørstofindhold!A$2:B$25,2,FALSE),0)</f>
        <v>806.81415512585409</v>
      </c>
      <c r="W137" s="192">
        <f>J137*IFERROR(VLOOKUP(A137,[1]Tørstofindhold!A$2:B$25,2,FALSE),0)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55000000000000004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O138*IFERROR(VLOOKUP(A138,[1]Tørstofindhold!A$2:B$25,2,FALSE),0)</f>
        <v>0</v>
      </c>
      <c r="V138" s="192">
        <f>IF(D138=År1,P138,SUM(O138,P138))*IFERROR(VLOOKUP(A138,[1]Tørstofindhold!A$2:B$25,2,FALSE),0)</f>
        <v>0</v>
      </c>
      <c r="W138" s="192">
        <f>J138*IFERROR(VLOOKUP(A138,[1]Tørstofindhold!A$2:B$25,2,FALSE),0)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55000000000000004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O139*IFERROR(VLOOKUP(A139,[1]Tørstofindhold!A$2:B$25,2,FALSE),0)</f>
        <v>0</v>
      </c>
      <c r="V139" s="192">
        <f>IF(D139=År1,P139,SUM(O139,P139))*IFERROR(VLOOKUP(A139,[1]Tørstofindhold!A$2:B$25,2,FALSE),0)</f>
        <v>0</v>
      </c>
      <c r="W139" s="192">
        <f>J139*IFERROR(VLOOKUP(A139,[1]Tørstofindhold!A$2:B$25,2,FALSE),0)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55000000000000004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O140*IFERROR(VLOOKUP(A140,[1]Tørstofindhold!A$2:B$25,2,FALSE),0)</f>
        <v>153517.94096865808</v>
      </c>
      <c r="V140" s="192">
        <f>IF(D140=År1,P140,SUM(O140,P140))*IFERROR(VLOOKUP(A140,[1]Tørstofindhold!A$2:B$25,2,FALSE),0)</f>
        <v>247309.9558670274</v>
      </c>
      <c r="W140" s="192">
        <f>J140*IFERROR(VLOOKUP(A140,[1]Tørstofindhold!A$2:B$25,2,FALSE),0)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55000000000000004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O141*IFERROR(VLOOKUP(A141,[1]Tørstofindhold!A$2:B$25,2,FALSE),0)</f>
        <v>0</v>
      </c>
      <c r="V141" s="192">
        <f>IF(D141=År1,P141,SUM(O141,P141))*IFERROR(VLOOKUP(A141,[1]Tørstofindhold!A$2:B$25,2,FALSE),0)</f>
        <v>382455.73184085841</v>
      </c>
      <c r="W141" s="192">
        <f>J141*IFERROR(VLOOKUP(A141,[1]Tørstofindhold!A$2:B$25,2,FALSE),0)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55000000000000004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O142*IFERROR(VLOOKUP(A142,[1]Tørstofindhold!A$2:B$25,2,FALSE),0)</f>
        <v>0</v>
      </c>
      <c r="V142" s="192">
        <f>IF(D142=År1,P142,SUM(O142,P142))*IFERROR(VLOOKUP(A142,[1]Tørstofindhold!A$2:B$25,2,FALSE),0)</f>
        <v>0</v>
      </c>
      <c r="W142" s="192">
        <f>J142*IFERROR(VLOOKUP(A142,[1]Tørstofindhold!A$2:B$25,2,FALSE),0)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55000000000000004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O143*IFERROR(VLOOKUP(A143,[1]Tørstofindhold!A$2:B$25,2,FALSE),0)</f>
        <v>2025</v>
      </c>
      <c r="V143" s="192">
        <f>IF(D143=År1,P143,SUM(O143,P143))*IFERROR(VLOOKUP(A143,[1]Tørstofindhold!A$2:B$25,2,FALSE),0)</f>
        <v>2025</v>
      </c>
      <c r="W143" s="192">
        <f>J143*IFERROR(VLOOKUP(A143,[1]Tørstofindhold!A$2:B$25,2,FALSE),0)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55000000000000004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O144*IFERROR(VLOOKUP(A144,[1]Tørstofindhold!A$2:B$25,2,FALSE),0)</f>
        <v>0</v>
      </c>
      <c r="V144" s="192">
        <f>IF(D144=År1,P144,SUM(O144,P144))*IFERROR(VLOOKUP(A144,[1]Tørstofindhold!A$2:B$25,2,FALSE),0)</f>
        <v>0</v>
      </c>
      <c r="W144" s="192">
        <f>J144*IFERROR(VLOOKUP(A144,[1]Tørstofindhold!A$2:B$25,2,FALSE),0)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55000000000000004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O145*IFERROR(VLOOKUP(A145,[1]Tørstofindhold!A$2:B$25,2,FALSE),0)</f>
        <v>0</v>
      </c>
      <c r="V145" s="192">
        <f>IF(D145=År1,P145,SUM(O145,P145))*IFERROR(VLOOKUP(A145,[1]Tørstofindhold!A$2:B$25,2,FALSE),0)</f>
        <v>989728.33693918446</v>
      </c>
      <c r="W145" s="192">
        <f>J145*IFERROR(VLOOKUP(A145,[1]Tørstofindhold!A$2:B$25,2,FALSE),0)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55000000000000004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O146*IFERROR(VLOOKUP(A146,[1]Tørstofindhold!A$2:B$25,2,FALSE),0)</f>
        <v>0</v>
      </c>
      <c r="V146" s="192">
        <f>IF(D146=År1,P146,SUM(O146,P146))*IFERROR(VLOOKUP(A146,[1]Tørstofindhold!A$2:B$25,2,FALSE),0)</f>
        <v>0</v>
      </c>
      <c r="W146" s="192">
        <f>J146*IFERROR(VLOOKUP(A146,[1]Tørstofindhold!A$2:B$25,2,FALSE),0)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55000000000000004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O147*IFERROR(VLOOKUP(A147,[1]Tørstofindhold!A$2:B$25,2,FALSE),0)</f>
        <v>0</v>
      </c>
      <c r="V147" s="192">
        <f>IF(D147=År1,P147,SUM(O147,P147))*IFERROR(VLOOKUP(A147,[1]Tørstofindhold!A$2:B$25,2,FALSE),0)</f>
        <v>0</v>
      </c>
      <c r="W147" s="192">
        <f>J147*IFERROR(VLOOKUP(A147,[1]Tørstofindhold!A$2:B$25,2,FALSE),0)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55000000000000004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O148*IFERROR(VLOOKUP(A148,[1]Tørstofindhold!A$2:B$25,2,FALSE),0)</f>
        <v>0</v>
      </c>
      <c r="V148" s="192">
        <f>IF(D148=År1,P148,SUM(O148,P148))*IFERROR(VLOOKUP(A148,[1]Tørstofindhold!A$2:B$25,2,FALSE),0)</f>
        <v>0</v>
      </c>
      <c r="W148" s="192">
        <f>J148*IFERROR(VLOOKUP(A148,[1]Tørstofindhold!A$2:B$25,2,FALSE),0)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55000000000000004">
      <c r="A149" s="194" t="s">
        <v>103</v>
      </c>
      <c r="B149" s="194" t="s">
        <v>233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si="23"/>
        <v>#REF!</v>
      </c>
      <c r="O149" s="195" t="e">
        <f t="shared" si="39"/>
        <v>#REF!</v>
      </c>
      <c r="P149" s="205" t="e">
        <f t="shared" si="24"/>
        <v>#REF!</v>
      </c>
      <c r="Q149" s="192" t="e">
        <f>IFERROR(VLOOKUP(A149,[1]Energiindhold!$A$2:$C$11,3,FALSE),IFERROR(VLOOKUP(A149,[1]Biogasudbytte!$A$2:$B$18,2,FALSE)*[1]Energiindhold!$C$10,0))*O149</f>
        <v>#REF!</v>
      </c>
      <c r="R149" s="192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>IFERROR(VLOOKUP(A149,[1]Biogasudbytte!$A$2:$B$18,2,FALSE)*[1]Energiindhold!$C$10,0)*J149*IFERROR(VLOOKUP(A149,Biogasanlæg!$F$3:$G$8,2,FALSE),1)</f>
        <v>#REF!</v>
      </c>
      <c r="T149" s="193" t="e">
        <f t="shared" si="25"/>
        <v>#REF!</v>
      </c>
      <c r="U149" s="191" t="e">
        <f>O149*IFERROR(VLOOKUP(A149,[1]Tørstofindhold!A$2:B$25,2,FALSE),0)</f>
        <v>#REF!</v>
      </c>
      <c r="V149" s="192" t="e">
        <f>IF(D149=År1,P149,SUM(O149,P149))*IFERROR(VLOOKUP(A149,[1]Tørstofindhold!A$2:B$25,2,FALSE),0)</f>
        <v>#REF!</v>
      </c>
      <c r="W149" s="192" t="e">
        <f>J149*IFERROR(VLOOKUP(A149,[1]Tørstofindhold!A$2:B$25,2,FALSE),0)</f>
        <v>#REF!</v>
      </c>
      <c r="X149" s="193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55000000000000004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80656592.240423515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80656592.240423515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si="48">F150-SUM(G150:M150)</f>
        <v>0</v>
      </c>
      <c r="O150" s="195">
        <f t="shared" si="39"/>
        <v>0</v>
      </c>
      <c r="P150" s="205">
        <f t="shared" ref="P150:P215" si="49">SUM(J150,L150)</f>
        <v>80656592.240423515</v>
      </c>
      <c r="Q150" s="192">
        <f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>O150*IFERROR(VLOOKUP(A150,[1]Tørstofindhold!A$2:B$25,2,FALSE),0)</f>
        <v>0</v>
      </c>
      <c r="V150" s="192">
        <f>IF(D150=År1,P150,SUM(O150,P150))*IFERROR(VLOOKUP(A150,[1]Tørstofindhold!A$2:B$25,2,FALSE),0)</f>
        <v>0</v>
      </c>
      <c r="W150" s="192">
        <f>J150*IFERROR(VLOOKUP(A150,[1]Tørstofindhold!A$2:B$25,2,FALSE),0)</f>
        <v>0</v>
      </c>
      <c r="X150" s="193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55000000000000004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O151*IFERROR(VLOOKUP(A151,[1]Tørstofindhold!A$2:B$25,2,FALSE),0)</f>
        <v>0</v>
      </c>
      <c r="V151" s="192">
        <f>IF(D151=År1,P151,SUM(O151,P151))*IFERROR(VLOOKUP(A151,[1]Tørstofindhold!A$2:B$25,2,FALSE),0)</f>
        <v>0</v>
      </c>
      <c r="W151" s="192">
        <f>J151*IFERROR(VLOOKUP(A151,[1]Tørstofindhold!A$2:B$25,2,FALSE),0)</f>
        <v>0</v>
      </c>
      <c r="X151" s="193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55000000000000004">
      <c r="A152" s="194" t="s">
        <v>210</v>
      </c>
      <c r="B152" s="194" t="s">
        <v>233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O152*IFERROR(VLOOKUP(A152,[1]Tørstofindhold!A$2:B$25,2,FALSE),0)</f>
        <v>0</v>
      </c>
      <c r="V152" s="192">
        <f>IF(D152=År1,P152,SUM(O152,P152))*IFERROR(VLOOKUP(A152,[1]Tørstofindhold!A$2:B$25,2,FALSE),0)</f>
        <v>0</v>
      </c>
      <c r="W152" s="192">
        <f>J152*IFERROR(VLOOKUP(A152,[1]Tørstofindhold!A$2:B$25,2,FALSE),0)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55000000000000004">
      <c r="A153" s="192" t="s">
        <v>102</v>
      </c>
      <c r="B153" s="194" t="s">
        <v>225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O153*IFERROR(VLOOKUP(A153,[1]Tørstofindhold!A$2:B$25,2,FALSE),0)</f>
        <v>46023.172979508287</v>
      </c>
      <c r="V153" s="192">
        <f>IF(D153=År1,P153,SUM(O153,P153))*IFERROR(VLOOKUP(A153,[1]Tørstofindhold!A$2:B$25,2,FALSE),0)</f>
        <v>25767.69853491227</v>
      </c>
      <c r="W153" s="192">
        <f>J153*IFERROR(VLOOKUP(A153,[1]Tørstofindhold!A$2:B$25,2,FALSE),0)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55000000000000004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O154*IFERROR(VLOOKUP(A154,[1]Tørstofindhold!A$2:B$25,2,FALSE),0)</f>
        <v>0</v>
      </c>
      <c r="V154" s="192">
        <f>IF(D154=År1,P154,SUM(O154,P154))*IFERROR(VLOOKUP(A154,[1]Tørstofindhold!A$2:B$25,2,FALSE),0)</f>
        <v>0</v>
      </c>
      <c r="W154" s="192">
        <f>J154*IFERROR(VLOOKUP(A154,[1]Tørstofindhold!A$2:B$25,2,FALSE),0)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55000000000000004">
      <c r="A155" s="192" t="s">
        <v>138</v>
      </c>
      <c r="B155" s="194" t="s">
        <v>225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O155*IFERROR(VLOOKUP(A155,[1]Tørstofindhold!A$2:B$25,2,FALSE),0)</f>
        <v>5.1667154758723441</v>
      </c>
      <c r="V155" s="192">
        <f>IF(D155=År1,P155,SUM(O155,P155))*IFERROR(VLOOKUP(A155,[1]Tørstofindhold!A$2:B$25,2,FALSE),0)</f>
        <v>21.274710783003783</v>
      </c>
      <c r="W155" s="192">
        <f>J155*IFERROR(VLOOKUP(A155,[1]Tørstofindhold!A$2:B$25,2,FALSE),0)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x14ac:dyDescent="0.55000000000000004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O156*IFERROR(VLOOKUP(A156,[1]Tørstofindhold!A$2:B$25,2,FALSE),0)</f>
        <v>0</v>
      </c>
      <c r="V156" s="192">
        <f>IF(D156=År1,P156,SUM(O156,P156))*IFERROR(VLOOKUP(A156,[1]Tørstofindhold!A$2:B$25,2,FALSE),0)</f>
        <v>0</v>
      </c>
      <c r="W156" s="192">
        <f>J156*IFERROR(VLOOKUP(A156,[1]Tørstofindhold!A$2:B$25,2,FALSE),0)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55000000000000004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O157*IFERROR(VLOOKUP(A157,[1]Tørstofindhold!A$2:B$25,2,FALSE),0)</f>
        <v>0</v>
      </c>
      <c r="V157" s="192">
        <f>IF(D157=År1,P157,SUM(O157,P157))*IFERROR(VLOOKUP(A157,[1]Tørstofindhold!A$2:B$25,2,FALSE),0)</f>
        <v>0</v>
      </c>
      <c r="W157" s="192">
        <f>J157*IFERROR(VLOOKUP(A157,[1]Tørstofindhold!A$2:B$25,2,FALSE),0)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55000000000000004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O158*IFERROR(VLOOKUP(A158,[1]Tørstofindhold!A$2:B$25,2,FALSE),0)</f>
        <v>0</v>
      </c>
      <c r="V158" s="192">
        <f>IF(D158=År1,P158,SUM(O158,P158))*IFERROR(VLOOKUP(A158,[1]Tørstofindhold!A$2:B$25,2,FALSE),0)</f>
        <v>0</v>
      </c>
      <c r="W158" s="192">
        <f>J158*IFERROR(VLOOKUP(A158,[1]Tørstofindhold!A$2:B$25,2,FALSE),0)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55000000000000004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O159*IFERROR(VLOOKUP(A159,[1]Tørstofindhold!A$2:B$25,2,FALSE),0)</f>
        <v>0</v>
      </c>
      <c r="V159" s="192">
        <f>IF(D159=År1,P159,SUM(O159,P159))*IFERROR(VLOOKUP(A159,[1]Tørstofindhold!A$2:B$25,2,FALSE),0)</f>
        <v>25693.56</v>
      </c>
      <c r="W159" s="192">
        <f>J159*IFERROR(VLOOKUP(A159,[1]Tørstofindhold!A$2:B$25,2,FALSE),0)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55000000000000004">
      <c r="A160" s="194" t="s">
        <v>51</v>
      </c>
      <c r="B160" s="194" t="s">
        <v>227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O160*IFERROR(VLOOKUP(A160,[1]Tørstofindhold!A$2:B$25,2,FALSE),0)</f>
        <v>158991.90017574377</v>
      </c>
      <c r="V160" s="192">
        <f>IF(D160=År1,P160,SUM(O160,P160))*IFERROR(VLOOKUP(A160,[1]Tørstofindhold!A$2:B$25,2,FALSE),0)</f>
        <v>2780.6341080944362</v>
      </c>
      <c r="W160" s="192">
        <f>J160*IFERROR(VLOOKUP(A160,[1]Tørstofindhold!A$2:B$25,2,FALSE),0)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55000000000000004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O161*IFERROR(VLOOKUP(A161,[1]Tørstofindhold!A$2:B$25,2,FALSE),0)</f>
        <v>0</v>
      </c>
      <c r="V161" s="192">
        <f>IF(D161=År1,P161,SUM(O161,P161))*IFERROR(VLOOKUP(A161,[1]Tørstofindhold!A$2:B$25,2,FALSE),0)</f>
        <v>0</v>
      </c>
      <c r="W161" s="192">
        <f>J161*IFERROR(VLOOKUP(A161,[1]Tørstofindhold!A$2:B$25,2,FALSE),0)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55000000000000004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O162*IFERROR(VLOOKUP(A162,[1]Tørstofindhold!A$2:B$25,2,FALSE),0)</f>
        <v>0</v>
      </c>
      <c r="V162" s="192">
        <f>IF(D162=År1,P162,SUM(O162,P162))*IFERROR(VLOOKUP(A162,[1]Tørstofindhold!A$2:B$25,2,FALSE),0)</f>
        <v>0</v>
      </c>
      <c r="W162" s="192">
        <f>J162*IFERROR(VLOOKUP(A162,[1]Tørstofindhold!A$2:B$25,2,FALSE),0)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55000000000000004">
      <c r="A163" s="194" t="s">
        <v>68</v>
      </c>
      <c r="B163" s="194" t="s">
        <v>230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O163*IFERROR(VLOOKUP(A163,[1]Tørstofindhold!A$2:B$25,2,FALSE),0)</f>
        <v>0</v>
      </c>
      <c r="V163" s="192">
        <f>IF(D163=År1,P163,SUM(O163,P163))*IFERROR(VLOOKUP(A163,[1]Tørstofindhold!A$2:B$25,2,FALSE),0)</f>
        <v>643424.50540230493</v>
      </c>
      <c r="W163" s="192">
        <f>J163*IFERROR(VLOOKUP(A163,[1]Tørstofindhold!A$2:B$25,2,FALSE),0)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55000000000000004">
      <c r="A164" s="194" t="s">
        <v>163</v>
      </c>
      <c r="B164" s="194" t="s">
        <v>233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O164*IFERROR(VLOOKUP(A164,[1]Tørstofindhold!A$2:B$25,2,FALSE),0)</f>
        <v>0</v>
      </c>
      <c r="V164" s="192">
        <f>IF(D164=År1,P164,SUM(O164,P164))*IFERROR(VLOOKUP(A164,[1]Tørstofindhold!A$2:B$25,2,FALSE),0)</f>
        <v>135703.9537013004</v>
      </c>
      <c r="W164" s="192">
        <f>J164*IFERROR(VLOOKUP(A164,[1]Tørstofindhold!A$2:B$25,2,FALSE),0)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55000000000000004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O165*IFERROR(VLOOKUP(A165,[1]Tørstofindhold!A$2:B$25,2,FALSE),0)</f>
        <v>0</v>
      </c>
      <c r="V165" s="192">
        <f>IF(D165=År1,P165,SUM(O165,P165))*IFERROR(VLOOKUP(A165,[1]Tørstofindhold!A$2:B$25,2,FALSE),0)</f>
        <v>0</v>
      </c>
      <c r="W165" s="192">
        <f>J165*IFERROR(VLOOKUP(A165,[1]Tørstofindhold!A$2:B$25,2,FALSE),0)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55000000000000004">
      <c r="A166" s="194" t="s">
        <v>104</v>
      </c>
      <c r="B166" s="194" t="s">
        <v>233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1.0901948093654197</v>
      </c>
      <c r="S166" s="192">
        <f>IFERROR(VLOOKUP(A166,[1]Biogasudbytte!$A$2:$B$18,2,FALSE)*[1]Energiindhold!$C$10,0)*J166*IFERROR(VLOOKUP(A166,Biogasanlæg!$F$3:$G$8,2,FALSE),1)</f>
        <v>1.0901948093654197</v>
      </c>
      <c r="T166" s="193">
        <f t="shared" si="50"/>
        <v>0</v>
      </c>
      <c r="U166" s="191">
        <f>O166*IFERROR(VLOOKUP(A166,[1]Tørstofindhold!A$2:B$25,2,FALSE),0)</f>
        <v>0</v>
      </c>
      <c r="V166" s="192">
        <f>IF(D166=År1,P166,SUM(O166,P166))*IFERROR(VLOOKUP(A166,[1]Tørstofindhold!A$2:B$25,2,FALSE),0)</f>
        <v>117411.1041450089</v>
      </c>
      <c r="W166" s="192">
        <f>J166*IFERROR(VLOOKUP(A166,[1]Tørstofindhold!A$2:B$25,2,FALSE),0)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55000000000000004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O167*IFERROR(VLOOKUP(A167,[1]Tørstofindhold!A$2:B$25,2,FALSE),0)</f>
        <v>0</v>
      </c>
      <c r="V167" s="192">
        <f>IF(D167=År1,P167,SUM(O167,P167))*IFERROR(VLOOKUP(A167,[1]Tørstofindhold!A$2:B$25,2,FALSE),0)</f>
        <v>0</v>
      </c>
      <c r="W167" s="192">
        <f>J167*IFERROR(VLOOKUP(A167,[1]Tørstofindhold!A$2:B$25,2,FALSE),0)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55000000000000004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O168*IFERROR(VLOOKUP(A168,[1]Tørstofindhold!A$2:B$25,2,FALSE),0)</f>
        <v>0</v>
      </c>
      <c r="V168" s="192">
        <f>IF(D168=År1,P168,SUM(O168,P168))*IFERROR(VLOOKUP(A168,[1]Tørstofindhold!A$2:B$25,2,FALSE),0)</f>
        <v>0</v>
      </c>
      <c r="W168" s="192">
        <f>J168*IFERROR(VLOOKUP(A168,[1]Tørstofindhold!A$2:B$25,2,FALSE),0)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55000000000000004">
      <c r="A169" s="194" t="s">
        <v>48</v>
      </c>
      <c r="B169" s="194" t="s">
        <v>230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O169*IFERROR(VLOOKUP(A169,[1]Tørstofindhold!A$2:B$25,2,FALSE),0)</f>
        <v>405810.34249165189</v>
      </c>
      <c r="V169" s="192">
        <f>IF(D169=År1,P169,SUM(O169,P169))*IFERROR(VLOOKUP(A169,[1]Tørstofindhold!A$2:B$25,2,FALSE),0)</f>
        <v>293.20254797942562</v>
      </c>
      <c r="W169" s="192">
        <f>J169*IFERROR(VLOOKUP(A169,[1]Tørstofindhold!A$2:B$25,2,FALSE),0)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55000000000000004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O170*IFERROR(VLOOKUP(A170,[1]Tørstofindhold!A$2:B$25,2,FALSE),0)</f>
        <v>0</v>
      </c>
      <c r="V170" s="192">
        <f>IF(D170=År1,P170,SUM(O170,P170))*IFERROR(VLOOKUP(A170,[1]Tørstofindhold!A$2:B$25,2,FALSE),0)</f>
        <v>0</v>
      </c>
      <c r="W170" s="192">
        <f>J170*IFERROR(VLOOKUP(A170,[1]Tørstofindhold!A$2:B$25,2,FALSE),0)</f>
        <v>0</v>
      </c>
      <c r="X170" s="193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55000000000000004">
      <c r="A171" s="194" t="s">
        <v>137</v>
      </c>
      <c r="B171" s="194" t="s">
        <v>225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O171*IFERROR(VLOOKUP(A171,[1]Tørstofindhold!A$2:B$25,2,FALSE),0)</f>
        <v>16375.964438075878</v>
      </c>
      <c r="V171" s="192">
        <f>IF(D171=År1,P171,SUM(O171,P171))*IFERROR(VLOOKUP(A171,[1]Tørstofindhold!A$2:B$25,2,FALSE),0)</f>
        <v>21785.024548619625</v>
      </c>
      <c r="W171" s="192">
        <f>J171*IFERROR(VLOOKUP(A171,[1]Tørstofindhold!A$2:B$25,2,FALSE),0)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x14ac:dyDescent="0.55000000000000004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O172*IFERROR(VLOOKUP(A172,[1]Tørstofindhold!A$2:B$25,2,FALSE),0)</f>
        <v>0</v>
      </c>
      <c r="V172" s="192">
        <f>IF(D172=År1,P172,SUM(O172,P172))*IFERROR(VLOOKUP(A172,[1]Tørstofindhold!A$2:B$25,2,FALSE),0)</f>
        <v>0</v>
      </c>
      <c r="W172" s="192">
        <f>J172*IFERROR(VLOOKUP(A172,[1]Tørstofindhold!A$2:B$25,2,FALSE),0)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55000000000000004">
      <c r="A173" s="192" t="s">
        <v>53</v>
      </c>
      <c r="B173" s="194" t="s">
        <v>227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O173*IFERROR(VLOOKUP(A173,[1]Tørstofindhold!A$2:B$25,2,FALSE),0)</f>
        <v>0</v>
      </c>
      <c r="V173" s="192">
        <f>IF(D173=År1,P173,SUM(O173,P173))*IFERROR(VLOOKUP(A173,[1]Tørstofindhold!A$2:B$25,2,FALSE),0)</f>
        <v>4561.3695205316753</v>
      </c>
      <c r="W173" s="192">
        <f>J173*IFERROR(VLOOKUP(A173,[1]Tørstofindhold!A$2:B$25,2,FALSE),0)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55000000000000004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O174*IFERROR(VLOOKUP(A174,[1]Tørstofindhold!A$2:B$25,2,FALSE),0)</f>
        <v>0</v>
      </c>
      <c r="V174" s="192">
        <f>IF(D174=År1,P174,SUM(O174,P174))*IFERROR(VLOOKUP(A174,[1]Tørstofindhold!A$2:B$25,2,FALSE),0)</f>
        <v>0</v>
      </c>
      <c r="W174" s="192">
        <f>J174*IFERROR(VLOOKUP(A174,[1]Tørstofindhold!A$2:B$25,2,FALSE),0)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55000000000000004">
      <c r="A175" s="194" t="s">
        <v>107</v>
      </c>
      <c r="B175" s="194" t="s">
        <v>229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O175*IFERROR(VLOOKUP(A175,[1]Tørstofindhold!A$2:B$25,2,FALSE),0)</f>
        <v>0.17965298253572234</v>
      </c>
      <c r="V175" s="192">
        <f>IF(D175=År1,P175,SUM(O175,P175))*IFERROR(VLOOKUP(A175,[1]Tørstofindhold!A$2:B$25,2,FALSE),0)</f>
        <v>0</v>
      </c>
      <c r="W175" s="192">
        <f>J175*IFERROR(VLOOKUP(A175,[1]Tørstofindhold!A$2:B$25,2,FALSE),0)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55000000000000004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O176*IFERROR(VLOOKUP(A176,[1]Tørstofindhold!A$2:B$25,2,FALSE),0)</f>
        <v>0</v>
      </c>
      <c r="V176" s="192">
        <f>IF(D176=År1,P176,SUM(O176,P176))*IFERROR(VLOOKUP(A176,[1]Tørstofindhold!A$2:B$25,2,FALSE),0)</f>
        <v>0</v>
      </c>
      <c r="W176" s="192">
        <f>J176*IFERROR(VLOOKUP(A176,[1]Tørstofindhold!A$2:B$25,2,FALSE),0)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55000000000000004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O177*IFERROR(VLOOKUP(A177,[1]Tørstofindhold!A$2:B$25,2,FALSE),0)</f>
        <v>0</v>
      </c>
      <c r="V177" s="192">
        <f>IF(D177=År1,P177,SUM(O177,P177))*IFERROR(VLOOKUP(A177,[1]Tørstofindhold!A$2:B$25,2,FALSE),0)</f>
        <v>0</v>
      </c>
      <c r="W177" s="192">
        <f>J177*IFERROR(VLOOKUP(A177,[1]Tørstofindhold!A$2:B$25,2,FALSE),0)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55000000000000004">
      <c r="A178" s="194" t="s">
        <v>96</v>
      </c>
      <c r="B178" s="194" t="s">
        <v>228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O178*IFERROR(VLOOKUP(A178,[1]Tørstofindhold!A$2:B$25,2,FALSE),0)</f>
        <v>0</v>
      </c>
      <c r="V178" s="192">
        <f>IF(D178=År1,P178,SUM(O178,P178))*IFERROR(VLOOKUP(A178,[1]Tørstofindhold!A$2:B$25,2,FALSE),0)</f>
        <v>15594.58777718433</v>
      </c>
      <c r="W178" s="192">
        <f>J178*IFERROR(VLOOKUP(A178,[1]Tørstofindhold!A$2:B$25,2,FALSE),0)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55000000000000004">
      <c r="A179" s="194" t="s">
        <v>320</v>
      </c>
      <c r="B179" s="194" t="s">
        <v>326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O179*IFERROR(VLOOKUP(A179,[1]Tørstofindhold!A$2:B$25,2,FALSE),0)</f>
        <v>0</v>
      </c>
      <c r="V179" s="192">
        <f>IF(D179=År1,P179,SUM(O179,P179))*IFERROR(VLOOKUP(A179,[1]Tørstofindhold!A$2:B$25,2,FALSE),0)</f>
        <v>0</v>
      </c>
      <c r="W179" s="192">
        <f>J179*IFERROR(VLOOKUP(A179,[1]Tørstofindhold!A$2:B$25,2,FALSE),0)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55000000000000004">
      <c r="A180" s="194" t="s">
        <v>321</v>
      </c>
      <c r="B180" s="194" t="s">
        <v>326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O180*IFERROR(VLOOKUP(A180,[1]Tørstofindhold!A$2:B$25,2,FALSE),0)</f>
        <v>0</v>
      </c>
      <c r="V180" s="192">
        <f>IF(D180=År1,P180,SUM(O180,P180))*IFERROR(VLOOKUP(A180,[1]Tørstofindhold!A$2:B$25,2,FALSE),0)</f>
        <v>0</v>
      </c>
      <c r="W180" s="192">
        <f>J180*IFERROR(VLOOKUP(A180,[1]Tørstofindhold!A$2:B$25,2,FALSE),0)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55000000000000004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O181*IFERROR(VLOOKUP(A181,[1]Tørstofindhold!A$2:B$25,2,FALSE),0)</f>
        <v>0</v>
      </c>
      <c r="V181" s="192">
        <f>IF(D181=År1,P181,SUM(O181,P181))*IFERROR(VLOOKUP(A181,[1]Tørstofindhold!A$2:B$25,2,FALSE),0)</f>
        <v>0</v>
      </c>
      <c r="W181" s="192">
        <f>J181*IFERROR(VLOOKUP(A181,[1]Tørstofindhold!A$2:B$25,2,FALSE),0)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55000000000000004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O182*IFERROR(VLOOKUP(A182,[1]Tørstofindhold!A$2:B$25,2,FALSE),0)</f>
        <v>0</v>
      </c>
      <c r="V182" s="192">
        <f>IF(D182=År1,P182,SUM(O182,P182))*IFERROR(VLOOKUP(A182,[1]Tørstofindhold!A$2:B$25,2,FALSE),0)</f>
        <v>0</v>
      </c>
      <c r="W182" s="192">
        <f>J182*IFERROR(VLOOKUP(A182,[1]Tørstofindhold!A$2:B$25,2,FALSE),0)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55000000000000004">
      <c r="A183" s="192" t="s">
        <v>241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O183*IFERROR(VLOOKUP(A183,[1]Tørstofindhold!A$2:B$25,2,FALSE),0)</f>
        <v>0</v>
      </c>
      <c r="V183" s="192">
        <f>IF(D183=År1,P183,SUM(O183,P183))*IFERROR(VLOOKUP(A183,[1]Tørstofindhold!A$2:B$25,2,FALSE),0)</f>
        <v>0</v>
      </c>
      <c r="W183" s="192">
        <f>J183*IFERROR(VLOOKUP(A183,[1]Tørstofindhold!A$2:B$25,2,FALSE),0)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55000000000000004">
      <c r="A184" s="192" t="s">
        <v>234</v>
      </c>
      <c r="B184" s="194" t="s">
        <v>234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1238.8744472557355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60704.847915530983</v>
      </c>
      <c r="N184" s="204">
        <f t="shared" si="48"/>
        <v>0</v>
      </c>
      <c r="O184" s="195">
        <f t="shared" si="39"/>
        <v>0</v>
      </c>
      <c r="P184" s="205">
        <f t="shared" si="49"/>
        <v>1238.8744472557355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4.3360605653950737E-2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4.3360605653950737E-2</v>
      </c>
      <c r="U184" s="191">
        <f>O184*IFERROR(VLOOKUP(A184,[1]Tørstofindhold!A$2:B$25,2,FALSE),0)</f>
        <v>0</v>
      </c>
      <c r="V184" s="192">
        <f>IF(D184=År1,P184,SUM(O184,P184))*IFERROR(VLOOKUP(A184,[1]Tørstofindhold!A$2:B$25,2,FALSE),0)</f>
        <v>1127.3757470027194</v>
      </c>
      <c r="W184" s="192">
        <f>J184*IFERROR(VLOOKUP(A184,[1]Tørstofindhold!A$2:B$25,2,FALSE),0)</f>
        <v>0</v>
      </c>
      <c r="X184" s="193">
        <f t="shared" si="51"/>
        <v>1127.3757470027194</v>
      </c>
      <c r="Y184" s="171">
        <f t="shared" si="43"/>
        <v>0</v>
      </c>
      <c r="Z184" s="103">
        <f t="shared" si="44"/>
        <v>0</v>
      </c>
    </row>
    <row r="185" spans="1:26" x14ac:dyDescent="0.55000000000000004">
      <c r="A185" s="192" t="s">
        <v>52</v>
      </c>
      <c r="B185" s="194" t="s">
        <v>227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O185*IFERROR(VLOOKUP(A185,[1]Tørstofindhold!A$2:B$25,2,FALSE),0)</f>
        <v>331272.92830018292</v>
      </c>
      <c r="V185" s="192">
        <f>IF(D185=År1,P185,SUM(O185,P185))*IFERROR(VLOOKUP(A185,[1]Tørstofindhold!A$2:B$25,2,FALSE),0)</f>
        <v>4908.7902151605549</v>
      </c>
      <c r="W185" s="192">
        <f>J185*IFERROR(VLOOKUP(A185,[1]Tørstofindhold!A$2:B$25,2,FALSE),0)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55000000000000004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O186*IFERROR(VLOOKUP(A186,[1]Tørstofindhold!A$2:B$25,2,FALSE),0)</f>
        <v>0</v>
      </c>
      <c r="V186" s="192">
        <f>IF(D186=År1,P186,SUM(O186,P186))*IFERROR(VLOOKUP(A186,[1]Tørstofindhold!A$2:B$25,2,FALSE),0)</f>
        <v>0</v>
      </c>
      <c r="W186" s="192">
        <f>J186*IFERROR(VLOOKUP(A186,[1]Tørstofindhold!A$2:B$25,2,FALSE),0)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55000000000000004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O187*IFERROR(VLOOKUP(A187,[1]Tørstofindhold!A$2:B$25,2,FALSE),0)</f>
        <v>0</v>
      </c>
      <c r="V187" s="192">
        <f>IF(D187=År1,P187,SUM(O187,P187))*IFERROR(VLOOKUP(A187,[1]Tørstofindhold!A$2:B$25,2,FALSE),0)</f>
        <v>0</v>
      </c>
      <c r="W187" s="192">
        <f>J187*IFERROR(VLOOKUP(A187,[1]Tørstofindhold!A$2:B$25,2,FALSE),0)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55000000000000004">
      <c r="A188" s="194" t="s">
        <v>141</v>
      </c>
      <c r="B188" s="194" t="s">
        <v>233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O188*IFERROR(VLOOKUP(A188,[1]Tørstofindhold!A$2:B$25,2,FALSE),0)</f>
        <v>118698.59693418349</v>
      </c>
      <c r="V188" s="192">
        <f>IF(D188=År1,P188,SUM(O188,P188))*IFERROR(VLOOKUP(A188,[1]Tørstofindhold!A$2:B$25,2,FALSE),0)</f>
        <v>72519.084752050971</v>
      </c>
      <c r="W188" s="192">
        <f>J188*IFERROR(VLOOKUP(A188,[1]Tørstofindhold!A$2:B$25,2,FALSE),0)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55000000000000004">
      <c r="A189" s="194" t="s">
        <v>136</v>
      </c>
      <c r="B189" s="194" t="s">
        <v>225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O189*IFERROR(VLOOKUP(A189,[1]Tørstofindhold!A$2:B$25,2,FALSE),0)</f>
        <v>0</v>
      </c>
      <c r="V189" s="192">
        <f>IF(D189=År1,P189,SUM(O189,P189))*IFERROR(VLOOKUP(A189,[1]Tørstofindhold!A$2:B$25,2,FALSE),0)</f>
        <v>19021.363017805568</v>
      </c>
      <c r="W189" s="192">
        <f>J189*IFERROR(VLOOKUP(A189,[1]Tørstofindhold!A$2:B$25,2,FALSE),0)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55000000000000004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O190*IFERROR(VLOOKUP(A190,[1]Tørstofindhold!A$2:B$25,2,FALSE),0)</f>
        <v>0</v>
      </c>
      <c r="V190" s="192">
        <f>IF(D190=År1,P190,SUM(O190,P190))*IFERROR(VLOOKUP(A190,[1]Tørstofindhold!A$2:B$25,2,FALSE),0)</f>
        <v>0</v>
      </c>
      <c r="W190" s="192">
        <f>J190*IFERROR(VLOOKUP(A190,[1]Tørstofindhold!A$2:B$25,2,FALSE),0)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55000000000000004">
      <c r="A191" s="194" t="s">
        <v>100</v>
      </c>
      <c r="B191" s="194" t="s">
        <v>229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O191*IFERROR(VLOOKUP(A191,[1]Tørstofindhold!A$2:B$25,2,FALSE),0)</f>
        <v>0</v>
      </c>
      <c r="V191" s="192">
        <f>IF(D191=År1,P191,SUM(O191,P191))*IFERROR(VLOOKUP(A191,[1]Tørstofindhold!A$2:B$25,2,FALSE),0)</f>
        <v>0</v>
      </c>
      <c r="W191" s="192">
        <f>J191*IFERROR(VLOOKUP(A191,[1]Tørstofindhold!A$2:B$25,2,FALSE),0)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55000000000000004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O192*IFERROR(VLOOKUP(A192,[1]Tørstofindhold!A$2:B$25,2,FALSE),0)</f>
        <v>0</v>
      </c>
      <c r="V192" s="192">
        <f>IF(D192=År1,P192,SUM(O192,P192))*IFERROR(VLOOKUP(A192,[1]Tørstofindhold!A$2:B$25,2,FALSE),0)</f>
        <v>0</v>
      </c>
      <c r="W192" s="192">
        <f>J192*IFERROR(VLOOKUP(A192,[1]Tørstofindhold!A$2:B$25,2,FALSE),0)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55000000000000004">
      <c r="A193" s="194" t="s">
        <v>120</v>
      </c>
      <c r="B193" s="194" t="s">
        <v>228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O193*IFERROR(VLOOKUP(A193,[1]Tørstofindhold!A$2:B$25,2,FALSE),0)</f>
        <v>0</v>
      </c>
      <c r="V193" s="192">
        <f>IF(D193=År1,P193,SUM(O193,P193))*IFERROR(VLOOKUP(A193,[1]Tørstofindhold!A$2:B$25,2,FALSE),0)</f>
        <v>337109.41129074246</v>
      </c>
      <c r="W193" s="192">
        <f>J193*IFERROR(VLOOKUP(A193,[1]Tørstofindhold!A$2:B$25,2,FALSE),0)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55000000000000004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O194*IFERROR(VLOOKUP(A194,[1]Tørstofindhold!A$2:B$25,2,FALSE),0)</f>
        <v>0</v>
      </c>
      <c r="V194" s="192">
        <f>IF(D194=År1,P194,SUM(O194,P194))*IFERROR(VLOOKUP(A194,[1]Tørstofindhold!A$2:B$25,2,FALSE),0)</f>
        <v>0</v>
      </c>
      <c r="W194" s="192">
        <f>J194*IFERROR(VLOOKUP(A194,[1]Tørstofindhold!A$2:B$25,2,FALSE),0)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55000000000000004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O195*IFERROR(VLOOKUP(A195,[1]Tørstofindhold!A$2:B$25,2,FALSE),0)</f>
        <v>0</v>
      </c>
      <c r="V195" s="192">
        <f>IF(D195=År1,P195,SUM(O195,P195))*IFERROR(VLOOKUP(A195,[1]Tørstofindhold!A$2:B$25,2,FALSE),0)</f>
        <v>0</v>
      </c>
      <c r="W195" s="192">
        <f>J195*IFERROR(VLOOKUP(A195,[1]Tørstofindhold!A$2:B$25,2,FALSE),0)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O196*IFERROR(VLOOKUP(A196,[1]Tørstofindhold!A$2:B$25,2,FALSE),0)</f>
        <v>0</v>
      </c>
      <c r="V196" s="192">
        <f>IF(D196=År1,P196,SUM(O196,P196))*IFERROR(VLOOKUP(A196,[1]Tørstofindhold!A$2:B$25,2,FALSE),0)</f>
        <v>0</v>
      </c>
      <c r="W196" s="192">
        <f>J196*IFERROR(VLOOKUP(A196,[1]Tørstofindhold!A$2:B$25,2,FALSE),0)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55000000000000004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si="48"/>
        <v>#REF!</v>
      </c>
      <c r="O197" s="195" t="e">
        <f t="shared" si="59"/>
        <v>#REF!</v>
      </c>
      <c r="P197" s="205" t="e">
        <f t="shared" si="49"/>
        <v>#REF!</v>
      </c>
      <c r="Q197" s="192" t="e">
        <f>IFERROR(VLOOKUP(A197,[1]Energiindhold!$A$2:$C$11,3,FALSE),IFERROR(VLOOKUP(A197,[1]Biogasudbytte!$A$2:$B$18,2,FALSE)*[1]Energiindhold!$C$10,0))*O197</f>
        <v>#REF!</v>
      </c>
      <c r="R197" s="192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>IFERROR(VLOOKUP(A197,[1]Biogasudbytte!$A$2:$B$18,2,FALSE)*[1]Energiindhold!$C$10,0)*J197*IFERROR(VLOOKUP(A197,Biogasanlæg!$F$3:$G$8,2,FALSE),1)</f>
        <v>#REF!</v>
      </c>
      <c r="T197" s="193" t="e">
        <f t="shared" si="50"/>
        <v>#REF!</v>
      </c>
      <c r="U197" s="191" t="e">
        <f>O197*IFERROR(VLOOKUP(A197,[1]Tørstofindhold!A$2:B$25,2,FALSE),0)</f>
        <v>#REF!</v>
      </c>
      <c r="V197" s="192" t="e">
        <f>IF(D197=År1,P197,SUM(O197,P197))*IFERROR(VLOOKUP(A197,[1]Tørstofindhold!A$2:B$25,2,FALSE),0)</f>
        <v>#REF!</v>
      </c>
      <c r="W197" s="192" t="e">
        <f>J197*IFERROR(VLOOKUP(A197,[1]Tørstofindhold!A$2:B$25,2,FALSE),0)</f>
        <v>#REF!</v>
      </c>
      <c r="X197" s="193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55000000000000004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93987142.911358356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93987142.911358356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si="48"/>
        <v>0</v>
      </c>
      <c r="O198" s="195">
        <f t="shared" si="59"/>
        <v>0</v>
      </c>
      <c r="P198" s="205">
        <f t="shared" si="49"/>
        <v>93987142.911358356</v>
      </c>
      <c r="Q198" s="192">
        <f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>O198*IFERROR(VLOOKUP(A198,[1]Tørstofindhold!A$2:B$25,2,FALSE),0)</f>
        <v>0</v>
      </c>
      <c r="V198" s="192">
        <f>IF(D198=År1,P198,SUM(O198,P198))*IFERROR(VLOOKUP(A198,[1]Tørstofindhold!A$2:B$25,2,FALSE),0)</f>
        <v>0</v>
      </c>
      <c r="W198" s="192">
        <f>J198*IFERROR(VLOOKUP(A198,[1]Tørstofindhold!A$2:B$25,2,FALSE),0)</f>
        <v>0</v>
      </c>
      <c r="X198" s="193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55000000000000004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O199*IFERROR(VLOOKUP(A199,[1]Tørstofindhold!A$2:B$25,2,FALSE),0)</f>
        <v>0</v>
      </c>
      <c r="V199" s="192">
        <f>IF(D199=År1,P199,SUM(O199,P199))*IFERROR(VLOOKUP(A199,[1]Tørstofindhold!A$2:B$25,2,FALSE),0)</f>
        <v>0</v>
      </c>
      <c r="W199" s="192">
        <f>J199*IFERROR(VLOOKUP(A199,[1]Tørstofindhold!A$2:B$25,2,FALSE),0)</f>
        <v>0</v>
      </c>
      <c r="X199" s="193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55000000000000004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O200*IFERROR(VLOOKUP(A200,[1]Tørstofindhold!A$2:B$25,2,FALSE),0)</f>
        <v>0</v>
      </c>
      <c r="V200" s="192">
        <f>IF(D200=År1,P200,SUM(O200,P200))*IFERROR(VLOOKUP(A200,[1]Tørstofindhold!A$2:B$25,2,FALSE),0)</f>
        <v>0</v>
      </c>
      <c r="W200" s="192">
        <f>J200*IFERROR(VLOOKUP(A200,[1]Tørstofindhold!A$2:B$25,2,FALSE),0)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55000000000000004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O201*IFERROR(VLOOKUP(A201,[1]Tørstofindhold!A$2:B$25,2,FALSE),0)</f>
        <v>33375.851286985482</v>
      </c>
      <c r="V201" s="192">
        <f>IF(D201=År1,P201,SUM(O201,P201))*IFERROR(VLOOKUP(A201,[1]Tørstofindhold!A$2:B$25,2,FALSE),0)</f>
        <v>87084.117725812714</v>
      </c>
      <c r="W201" s="192">
        <f>J201*IFERROR(VLOOKUP(A201,[1]Tørstofindhold!A$2:B$25,2,FALSE),0)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55000000000000004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O202*IFERROR(VLOOKUP(A202,[1]Tørstofindhold!A$2:B$25,2,FALSE),0)</f>
        <v>0</v>
      </c>
      <c r="V202" s="192">
        <f>IF(D202=År1,P202,SUM(O202,P202))*IFERROR(VLOOKUP(A202,[1]Tørstofindhold!A$2:B$25,2,FALSE),0)</f>
        <v>0</v>
      </c>
      <c r="W202" s="192">
        <f>J202*IFERROR(VLOOKUP(A202,[1]Tørstofindhold!A$2:B$25,2,FALSE),0)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55000000000000004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O203*IFERROR(VLOOKUP(A203,[1]Tørstofindhold!A$2:B$25,2,FALSE),0)</f>
        <v>5.356544727419335</v>
      </c>
      <c r="V203" s="192">
        <f>IF(D203=År1,P203,SUM(O203,P203))*IFERROR(VLOOKUP(A203,[1]Tørstofindhold!A$2:B$25,2,FALSE),0)</f>
        <v>27.412905369734258</v>
      </c>
      <c r="W203" s="192">
        <f>J203*IFERROR(VLOOKUP(A203,[1]Tørstofindhold!A$2:B$25,2,FALSE),0)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x14ac:dyDescent="0.55000000000000004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O204*IFERROR(VLOOKUP(A204,[1]Tørstofindhold!A$2:B$25,2,FALSE),0)</f>
        <v>0</v>
      </c>
      <c r="V204" s="192">
        <f>IF(D204=År1,P204,SUM(O204,P204))*IFERROR(VLOOKUP(A204,[1]Tørstofindhold!A$2:B$25,2,FALSE),0)</f>
        <v>0</v>
      </c>
      <c r="W204" s="192">
        <f>J204*IFERROR(VLOOKUP(A204,[1]Tørstofindhold!A$2:B$25,2,FALSE),0)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55000000000000004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O205*IFERROR(VLOOKUP(A205,[1]Tørstofindhold!A$2:B$25,2,FALSE),0)</f>
        <v>0</v>
      </c>
      <c r="V205" s="192">
        <f>IF(D205=År1,P205,SUM(O205,P205))*IFERROR(VLOOKUP(A205,[1]Tørstofindhold!A$2:B$25,2,FALSE),0)</f>
        <v>0</v>
      </c>
      <c r="W205" s="192">
        <f>J205*IFERROR(VLOOKUP(A205,[1]Tørstofindhold!A$2:B$25,2,FALSE),0)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55000000000000004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O206*IFERROR(VLOOKUP(A206,[1]Tørstofindhold!A$2:B$25,2,FALSE),0)</f>
        <v>0</v>
      </c>
      <c r="V206" s="192">
        <f>IF(D206=År1,P206,SUM(O206,P206))*IFERROR(VLOOKUP(A206,[1]Tørstofindhold!A$2:B$25,2,FALSE),0)</f>
        <v>0</v>
      </c>
      <c r="W206" s="192">
        <f>J206*IFERROR(VLOOKUP(A206,[1]Tørstofindhold!A$2:B$25,2,FALSE),0)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55000000000000004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O207*IFERROR(VLOOKUP(A207,[1]Tørstofindhold!A$2:B$25,2,FALSE),0)</f>
        <v>0</v>
      </c>
      <c r="V207" s="192">
        <f>IF(D207=År1,P207,SUM(O207,P207))*IFERROR(VLOOKUP(A207,[1]Tørstofindhold!A$2:B$25,2,FALSE),0)</f>
        <v>25693.56</v>
      </c>
      <c r="W207" s="192">
        <f>J207*IFERROR(VLOOKUP(A207,[1]Tørstofindhold!A$2:B$25,2,FALSE),0)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55000000000000004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O208*IFERROR(VLOOKUP(A208,[1]Tørstofindhold!A$2:B$25,2,FALSE),0)</f>
        <v>190081.25222121915</v>
      </c>
      <c r="V208" s="192">
        <f>IF(D208=År1,P208,SUM(O208,P208))*IFERROR(VLOOKUP(A208,[1]Tørstofindhold!A$2:B$25,2,FALSE),0)</f>
        <v>192898.87554387318</v>
      </c>
      <c r="W208" s="192">
        <f>J208*IFERROR(VLOOKUP(A208,[1]Tørstofindhold!A$2:B$25,2,FALSE),0)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55000000000000004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O209*IFERROR(VLOOKUP(A209,[1]Tørstofindhold!A$2:B$25,2,FALSE),0)</f>
        <v>0</v>
      </c>
      <c r="V209" s="192">
        <f>IF(D209=År1,P209,SUM(O209,P209))*IFERROR(VLOOKUP(A209,[1]Tørstofindhold!A$2:B$25,2,FALSE),0)</f>
        <v>0</v>
      </c>
      <c r="W209" s="192">
        <f>J209*IFERROR(VLOOKUP(A209,[1]Tørstofindhold!A$2:B$25,2,FALSE),0)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55000000000000004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O210*IFERROR(VLOOKUP(A210,[1]Tørstofindhold!A$2:B$25,2,FALSE),0)</f>
        <v>0</v>
      </c>
      <c r="V210" s="192">
        <f>IF(D210=År1,P210,SUM(O210,P210))*IFERROR(VLOOKUP(A210,[1]Tørstofindhold!A$2:B$25,2,FALSE),0)</f>
        <v>0</v>
      </c>
      <c r="W210" s="192">
        <f>J210*IFERROR(VLOOKUP(A210,[1]Tørstofindhold!A$2:B$25,2,FALSE),0)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55000000000000004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O211*IFERROR(VLOOKUP(A211,[1]Tørstofindhold!A$2:B$25,2,FALSE),0)</f>
        <v>0</v>
      </c>
      <c r="V211" s="192">
        <f>IF(D211=År1,P211,SUM(O211,P211))*IFERROR(VLOOKUP(A211,[1]Tørstofindhold!A$2:B$25,2,FALSE),0)</f>
        <v>628442.9790172386</v>
      </c>
      <c r="W211" s="192">
        <f>J211*IFERROR(VLOOKUP(A211,[1]Tørstofindhold!A$2:B$25,2,FALSE),0)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55000000000000004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O212*IFERROR(VLOOKUP(A212,[1]Tørstofindhold!A$2:B$25,2,FALSE),0)</f>
        <v>0</v>
      </c>
      <c r="V212" s="192">
        <f>IF(D212=År1,P212,SUM(O212,P212))*IFERROR(VLOOKUP(A212,[1]Tørstofindhold!A$2:B$25,2,FALSE),0)</f>
        <v>136822.46703948267</v>
      </c>
      <c r="W212" s="192">
        <f>J212*IFERROR(VLOOKUP(A212,[1]Tørstofindhold!A$2:B$25,2,FALSE),0)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55000000000000004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O213*IFERROR(VLOOKUP(A213,[1]Tørstofindhold!A$2:B$25,2,FALSE),0)</f>
        <v>0</v>
      </c>
      <c r="V213" s="192">
        <f>IF(D213=År1,P213,SUM(O213,P213))*IFERROR(VLOOKUP(A213,[1]Tørstofindhold!A$2:B$25,2,FALSE),0)</f>
        <v>0</v>
      </c>
      <c r="W213" s="192">
        <f>J213*IFERROR(VLOOKUP(A213,[1]Tørstofindhold!A$2:B$25,2,FALSE),0)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55000000000000004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0.79131574441079067</v>
      </c>
      <c r="S214" s="192">
        <f>IFERROR(VLOOKUP(A214,[1]Biogasudbytte!$A$2:$B$18,2,FALSE)*[1]Energiindhold!$C$10,0)*J214*IFERROR(VLOOKUP(A214,Biogasanlæg!$F$3:$G$8,2,FALSE),1)</f>
        <v>0.79131525646528422</v>
      </c>
      <c r="T214" s="193">
        <f t="shared" si="50"/>
        <v>4.8794550644437606E-7</v>
      </c>
      <c r="U214" s="191">
        <f>O214*IFERROR(VLOOKUP(A214,[1]Tørstofindhold!A$2:B$25,2,FALSE),0)</f>
        <v>4.7295399101567451E-2</v>
      </c>
      <c r="V214" s="192">
        <f>IF(D214=År1,P214,SUM(O214,P214))*IFERROR(VLOOKUP(A214,[1]Tørstofindhold!A$2:B$25,2,FALSE),0)</f>
        <v>85222.612281248264</v>
      </c>
      <c r="W214" s="192">
        <f>J214*IFERROR(VLOOKUP(A214,[1]Tørstofindhold!A$2:B$25,2,FALSE),0)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55000000000000004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O215*IFERROR(VLOOKUP(A215,[1]Tørstofindhold!A$2:B$25,2,FALSE),0)</f>
        <v>0</v>
      </c>
      <c r="V215" s="192">
        <f>IF(D215=År1,P215,SUM(O215,P215))*IFERROR(VLOOKUP(A215,[1]Tørstofindhold!A$2:B$25,2,FALSE),0)</f>
        <v>0</v>
      </c>
      <c r="W215" s="192">
        <f>J215*IFERROR(VLOOKUP(A215,[1]Tørstofindhold!A$2:B$25,2,FALSE),0)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55000000000000004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O216*IFERROR(VLOOKUP(A216,[1]Tørstofindhold!A$2:B$25,2,FALSE),0)</f>
        <v>0</v>
      </c>
      <c r="V216" s="192">
        <f>IF(D216=År1,P216,SUM(O216,P216))*IFERROR(VLOOKUP(A216,[1]Tørstofindhold!A$2:B$25,2,FALSE),0)</f>
        <v>0</v>
      </c>
      <c r="W216" s="192">
        <f>J216*IFERROR(VLOOKUP(A216,[1]Tørstofindhold!A$2:B$25,2,FALSE),0)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55000000000000004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O217*IFERROR(VLOOKUP(A217,[1]Tørstofindhold!A$2:B$25,2,FALSE),0)</f>
        <v>443411.16316987784</v>
      </c>
      <c r="V217" s="192">
        <f>IF(D217=År1,P217,SUM(O217,P217))*IFERROR(VLOOKUP(A217,[1]Tørstofindhold!A$2:B$25,2,FALSE),0)</f>
        <v>443706.30382524902</v>
      </c>
      <c r="W217" s="192">
        <f>J217*IFERROR(VLOOKUP(A217,[1]Tørstofindhold!A$2:B$25,2,FALSE),0)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55000000000000004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O218*IFERROR(VLOOKUP(A218,[1]Tørstofindhold!A$2:B$25,2,FALSE),0)</f>
        <v>0</v>
      </c>
      <c r="V218" s="192">
        <f>IF(D218=År1,P218,SUM(O218,P218))*IFERROR(VLOOKUP(A218,[1]Tørstofindhold!A$2:B$25,2,FALSE),0)</f>
        <v>0</v>
      </c>
      <c r="W218" s="192">
        <f>J218*IFERROR(VLOOKUP(A218,[1]Tørstofindhold!A$2:B$25,2,FALSE),0)</f>
        <v>0</v>
      </c>
      <c r="X218" s="193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55000000000000004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O219*IFERROR(VLOOKUP(A219,[1]Tørstofindhold!A$2:B$25,2,FALSE),0)</f>
        <v>5680.6901469331833</v>
      </c>
      <c r="V219" s="192">
        <f>IF(D219=År1,P219,SUM(O219,P219))*IFERROR(VLOOKUP(A219,[1]Tørstofindhold!A$2:B$25,2,FALSE),0)</f>
        <v>58980.992760133413</v>
      </c>
      <c r="W219" s="192">
        <f>J219*IFERROR(VLOOKUP(A219,[1]Tørstofindhold!A$2:B$25,2,FALSE),0)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x14ac:dyDescent="0.55000000000000004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O220*IFERROR(VLOOKUP(A220,[1]Tørstofindhold!A$2:B$25,2,FALSE),0)</f>
        <v>0</v>
      </c>
      <c r="V220" s="192">
        <f>IF(D220=År1,P220,SUM(O220,P220))*IFERROR(VLOOKUP(A220,[1]Tørstofindhold!A$2:B$25,2,FALSE),0)</f>
        <v>0</v>
      </c>
      <c r="W220" s="192">
        <f>J220*IFERROR(VLOOKUP(A220,[1]Tørstofindhold!A$2:B$25,2,FALSE),0)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55000000000000004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O221*IFERROR(VLOOKUP(A221,[1]Tørstofindhold!A$2:B$25,2,FALSE),0)</f>
        <v>0</v>
      </c>
      <c r="V221" s="192">
        <f>IF(D221=År1,P221,SUM(O221,P221))*IFERROR(VLOOKUP(A221,[1]Tørstofindhold!A$2:B$25,2,FALSE),0)</f>
        <v>4600.1059489224999</v>
      </c>
      <c r="W221" s="192">
        <f>J221*IFERROR(VLOOKUP(A221,[1]Tørstofindhold!A$2:B$25,2,FALSE),0)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55000000000000004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O222*IFERROR(VLOOKUP(A222,[1]Tørstofindhold!A$2:B$25,2,FALSE),0)</f>
        <v>0</v>
      </c>
      <c r="V222" s="192">
        <f>IF(D222=År1,P222,SUM(O222,P222))*IFERROR(VLOOKUP(A222,[1]Tørstofindhold!A$2:B$25,2,FALSE),0)</f>
        <v>0</v>
      </c>
      <c r="W222" s="192">
        <f>J222*IFERROR(VLOOKUP(A222,[1]Tørstofindhold!A$2:B$25,2,FALSE),0)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55000000000000004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O223*IFERROR(VLOOKUP(A223,[1]Tørstofindhold!A$2:B$25,2,FALSE),0)</f>
        <v>486.50027670673614</v>
      </c>
      <c r="V223" s="192">
        <f>IF(D223=År1,P223,SUM(O223,P223))*IFERROR(VLOOKUP(A223,[1]Tørstofindhold!A$2:B$25,2,FALSE),0)</f>
        <v>486.50027670673614</v>
      </c>
      <c r="W223" s="192">
        <f>J223*IFERROR(VLOOKUP(A223,[1]Tørstofindhold!A$2:B$25,2,FALSE),0)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55000000000000004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O224*IFERROR(VLOOKUP(A224,[1]Tørstofindhold!A$2:B$25,2,FALSE),0)</f>
        <v>0</v>
      </c>
      <c r="V224" s="192">
        <f>IF(D224=År1,P224,SUM(O224,P224))*IFERROR(VLOOKUP(A224,[1]Tørstofindhold!A$2:B$25,2,FALSE),0)</f>
        <v>0</v>
      </c>
      <c r="W224" s="192">
        <f>J224*IFERROR(VLOOKUP(A224,[1]Tørstofindhold!A$2:B$25,2,FALSE),0)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55000000000000004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O225*IFERROR(VLOOKUP(A225,[1]Tørstofindhold!A$2:B$25,2,FALSE),0)</f>
        <v>0</v>
      </c>
      <c r="V225" s="192">
        <f>IF(D225=År1,P225,SUM(O225,P225))*IFERROR(VLOOKUP(A225,[1]Tørstofindhold!A$2:B$25,2,FALSE),0)</f>
        <v>0</v>
      </c>
      <c r="W225" s="192">
        <f>J225*IFERROR(VLOOKUP(A225,[1]Tørstofindhold!A$2:B$25,2,FALSE),0)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55000000000000004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O226*IFERROR(VLOOKUP(A226,[1]Tørstofindhold!A$2:B$25,2,FALSE),0)</f>
        <v>0</v>
      </c>
      <c r="V226" s="192">
        <f>IF(D226=År1,P226,SUM(O226,P226))*IFERROR(VLOOKUP(A226,[1]Tørstofindhold!A$2:B$25,2,FALSE),0)</f>
        <v>16359.166056774371</v>
      </c>
      <c r="W226" s="192">
        <f>J226*IFERROR(VLOOKUP(A226,[1]Tørstofindhold!A$2:B$25,2,FALSE),0)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55000000000000004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O227*IFERROR(VLOOKUP(A227,[1]Tørstofindhold!A$2:B$25,2,FALSE),0)</f>
        <v>0</v>
      </c>
      <c r="V227" s="192">
        <f>IF(D227=År1,P227,SUM(O227,P227))*IFERROR(VLOOKUP(A227,[1]Tørstofindhold!A$2:B$25,2,FALSE),0)</f>
        <v>0</v>
      </c>
      <c r="W227" s="192">
        <f>J227*IFERROR(VLOOKUP(A227,[1]Tørstofindhold!A$2:B$25,2,FALSE),0)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55000000000000004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O228*IFERROR(VLOOKUP(A228,[1]Tørstofindhold!A$2:B$25,2,FALSE),0)</f>
        <v>0</v>
      </c>
      <c r="V228" s="192">
        <f>IF(D228=År1,P228,SUM(O228,P228))*IFERROR(VLOOKUP(A228,[1]Tørstofindhold!A$2:B$25,2,FALSE),0)</f>
        <v>0</v>
      </c>
      <c r="W228" s="192">
        <f>J228*IFERROR(VLOOKUP(A228,[1]Tørstofindhold!A$2:B$25,2,FALSE),0)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55000000000000004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O229*IFERROR(VLOOKUP(A229,[1]Tørstofindhold!A$2:B$25,2,FALSE),0)</f>
        <v>0</v>
      </c>
      <c r="V229" s="192">
        <f>IF(D229=År1,P229,SUM(O229,P229))*IFERROR(VLOOKUP(A229,[1]Tørstofindhold!A$2:B$25,2,FALSE),0)</f>
        <v>0</v>
      </c>
      <c r="W229" s="192">
        <f>J229*IFERROR(VLOOKUP(A229,[1]Tørstofindhold!A$2:B$25,2,FALSE),0)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55000000000000004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O230*IFERROR(VLOOKUP(A230,[1]Tørstofindhold!A$2:B$25,2,FALSE),0)</f>
        <v>0</v>
      </c>
      <c r="V230" s="192">
        <f>IF(D230=År1,P230,SUM(O230,P230))*IFERROR(VLOOKUP(A230,[1]Tørstofindhold!A$2:B$25,2,FALSE),0)</f>
        <v>0</v>
      </c>
      <c r="W230" s="192">
        <f>J230*IFERROR(VLOOKUP(A230,[1]Tørstofindhold!A$2:B$25,2,FALSE),0)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55000000000000004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O231*IFERROR(VLOOKUP(A231,[1]Tørstofindhold!A$2:B$25,2,FALSE),0)</f>
        <v>0</v>
      </c>
      <c r="V231" s="192">
        <f>IF(D231=År1,P231,SUM(O231,P231))*IFERROR(VLOOKUP(A231,[1]Tørstofindhold!A$2:B$25,2,FALSE),0)</f>
        <v>0</v>
      </c>
      <c r="W231" s="192">
        <f>J231*IFERROR(VLOOKUP(A231,[1]Tørstofindhold!A$2:B$25,2,FALSE),0)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55000000000000004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O232*IFERROR(VLOOKUP(A232,[1]Tørstofindhold!A$2:B$25,2,FALSE),0)</f>
        <v>0</v>
      </c>
      <c r="V232" s="192">
        <f>IF(D232=År1,P232,SUM(O232,P232))*IFERROR(VLOOKUP(A232,[1]Tørstofindhold!A$2:B$25,2,FALSE),0)</f>
        <v>59523.548822590237</v>
      </c>
      <c r="W232" s="192">
        <f>J232*IFERROR(VLOOKUP(A232,[1]Tørstofindhold!A$2:B$25,2,FALSE),0)</f>
        <v>0</v>
      </c>
      <c r="X232" s="193">
        <f t="shared" si="65"/>
        <v>59523.548822590237</v>
      </c>
      <c r="Y232" s="171">
        <f t="shared" si="60"/>
        <v>0</v>
      </c>
      <c r="Z232" s="103">
        <f t="shared" si="61"/>
        <v>0</v>
      </c>
    </row>
    <row r="233" spans="1:26" x14ac:dyDescent="0.55000000000000004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O233*IFERROR(VLOOKUP(A233,[1]Tørstofindhold!A$2:B$25,2,FALSE),0)</f>
        <v>360755.85237070313</v>
      </c>
      <c r="V233" s="192">
        <f>IF(D233=År1,P233,SUM(O233,P233))*IFERROR(VLOOKUP(A233,[1]Tørstofindhold!A$2:B$25,2,FALSE),0)</f>
        <v>365669.70821404835</v>
      </c>
      <c r="W233" s="192">
        <f>J233*IFERROR(VLOOKUP(A233,[1]Tørstofindhold!A$2:B$25,2,FALSE),0)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55000000000000004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O234*IFERROR(VLOOKUP(A234,[1]Tørstofindhold!A$2:B$25,2,FALSE),0)</f>
        <v>0</v>
      </c>
      <c r="V234" s="192">
        <f>IF(D234=År1,P234,SUM(O234,P234))*IFERROR(VLOOKUP(A234,[1]Tørstofindhold!A$2:B$25,2,FALSE),0)</f>
        <v>0</v>
      </c>
      <c r="W234" s="192">
        <f>J234*IFERROR(VLOOKUP(A234,[1]Tørstofindhold!A$2:B$25,2,FALSE),0)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55000000000000004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O235*IFERROR(VLOOKUP(A235,[1]Tørstofindhold!A$2:B$25,2,FALSE),0)</f>
        <v>0</v>
      </c>
      <c r="V235" s="192">
        <f>IF(D235=År1,P235,SUM(O235,P235))*IFERROR(VLOOKUP(A235,[1]Tørstofindhold!A$2:B$25,2,FALSE),0)</f>
        <v>0</v>
      </c>
      <c r="W235" s="192">
        <f>J235*IFERROR(VLOOKUP(A235,[1]Tørstofindhold!A$2:B$25,2,FALSE),0)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55000000000000004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O236*IFERROR(VLOOKUP(A236,[1]Tørstofindhold!A$2:B$25,2,FALSE),0)</f>
        <v>124549.52653292398</v>
      </c>
      <c r="V236" s="192">
        <f>IF(D236=År1,P236,SUM(O236,P236))*IFERROR(VLOOKUP(A236,[1]Tørstofindhold!A$2:B$25,2,FALSE),0)</f>
        <v>200643.245445854</v>
      </c>
      <c r="W236" s="192">
        <f>J236*IFERROR(VLOOKUP(A236,[1]Tørstofindhold!A$2:B$25,2,FALSE),0)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55000000000000004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O237*IFERROR(VLOOKUP(A237,[1]Tørstofindhold!A$2:B$25,2,FALSE),0)</f>
        <v>0</v>
      </c>
      <c r="V237" s="192">
        <f>IF(D237=År1,P237,SUM(O237,P237))*IFERROR(VLOOKUP(A237,[1]Tørstofindhold!A$2:B$25,2,FALSE),0)</f>
        <v>57883.945708135427</v>
      </c>
      <c r="W237" s="192">
        <f>J237*IFERROR(VLOOKUP(A237,[1]Tørstofindhold!A$2:B$25,2,FALSE),0)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55000000000000004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O238*IFERROR(VLOOKUP(A238,[1]Tørstofindhold!A$2:B$25,2,FALSE),0)</f>
        <v>0</v>
      </c>
      <c r="V238" s="192">
        <f>IF(D238=År1,P238,SUM(O238,P238))*IFERROR(VLOOKUP(A238,[1]Tørstofindhold!A$2:B$25,2,FALSE),0)</f>
        <v>0</v>
      </c>
      <c r="W238" s="192">
        <f>J238*IFERROR(VLOOKUP(A238,[1]Tørstofindhold!A$2:B$25,2,FALSE),0)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55000000000000004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O239*IFERROR(VLOOKUP(A239,[1]Tørstofindhold!A$2:B$25,2,FALSE),0)</f>
        <v>540</v>
      </c>
      <c r="V239" s="192">
        <f>IF(D239=År1,P239,SUM(O239,P239))*IFERROR(VLOOKUP(A239,[1]Tørstofindhold!A$2:B$25,2,FALSE),0)</f>
        <v>540</v>
      </c>
      <c r="W239" s="192">
        <f>J239*IFERROR(VLOOKUP(A239,[1]Tørstofindhold!A$2:B$25,2,FALSE),0)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55000000000000004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O240*IFERROR(VLOOKUP(A240,[1]Tørstofindhold!A$2:B$25,2,FALSE),0)</f>
        <v>0</v>
      </c>
      <c r="V240" s="192">
        <f>IF(D240=År1,P240,SUM(O240,P240))*IFERROR(VLOOKUP(A240,[1]Tørstofindhold!A$2:B$25,2,FALSE),0)</f>
        <v>0</v>
      </c>
      <c r="W240" s="192">
        <f>J240*IFERROR(VLOOKUP(A240,[1]Tørstofindhold!A$2:B$25,2,FALSE),0)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55000000000000004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O241*IFERROR(VLOOKUP(A241,[1]Tørstofindhold!A$2:B$25,2,FALSE),0)</f>
        <v>0</v>
      </c>
      <c r="V241" s="192">
        <f>IF(D241=År1,P241,SUM(O241,P241))*IFERROR(VLOOKUP(A241,[1]Tørstofindhold!A$2:B$25,2,FALSE),0)</f>
        <v>319025.0352732077</v>
      </c>
      <c r="W241" s="192">
        <f>J241*IFERROR(VLOOKUP(A241,[1]Tørstofindhold!A$2:B$25,2,FALSE),0)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55000000000000004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O242*IFERROR(VLOOKUP(A242,[1]Tørstofindhold!A$2:B$25,2,FALSE),0)</f>
        <v>0</v>
      </c>
      <c r="V242" s="192">
        <f>IF(D242=År1,P242,SUM(O242,P242))*IFERROR(VLOOKUP(A242,[1]Tørstofindhold!A$2:B$25,2,FALSE),0)</f>
        <v>0</v>
      </c>
      <c r="W242" s="192">
        <f>J242*IFERROR(VLOOKUP(A242,[1]Tørstofindhold!A$2:B$25,2,FALSE),0)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55000000000000004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O243*IFERROR(VLOOKUP(A243,[1]Tørstofindhold!A$2:B$25,2,FALSE),0)</f>
        <v>0</v>
      </c>
      <c r="V243" s="192">
        <f>IF(D243=År1,P243,SUM(O243,P243))*IFERROR(VLOOKUP(A243,[1]Tørstofindhold!A$2:B$25,2,FALSE),0)</f>
        <v>0</v>
      </c>
      <c r="W243" s="192">
        <f>J243*IFERROR(VLOOKUP(A243,[1]Tørstofindhold!A$2:B$25,2,FALSE),0)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55000000000000004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O244*IFERROR(VLOOKUP(A244,[1]Tørstofindhold!A$2:B$25,2,FALSE),0)</f>
        <v>0</v>
      </c>
      <c r="V244" s="192">
        <f>IF(D244=År1,P244,SUM(O244,P244))*IFERROR(VLOOKUP(A244,[1]Tørstofindhold!A$2:B$25,2,FALSE),0)</f>
        <v>0</v>
      </c>
      <c r="W244" s="192">
        <f>J244*IFERROR(VLOOKUP(A244,[1]Tørstofindhold!A$2:B$25,2,FALSE),0)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55000000000000004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si="62"/>
        <v>#REF!</v>
      </c>
      <c r="O245" s="195" t="e">
        <f t="shared" si="59"/>
        <v>#REF!</v>
      </c>
      <c r="P245" s="205" t="e">
        <f t="shared" si="63"/>
        <v>#REF!</v>
      </c>
      <c r="Q245" s="192" t="e">
        <f>IFERROR(VLOOKUP(A245,[1]Energiindhold!$A$2:$C$11,3,FALSE),IFERROR(VLOOKUP(A245,[1]Biogasudbytte!$A$2:$B$18,2,FALSE)*[1]Energiindhold!$C$10,0))*O245</f>
        <v>#REF!</v>
      </c>
      <c r="R245" s="192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>IFERROR(VLOOKUP(A245,[1]Biogasudbytte!$A$2:$B$18,2,FALSE)*[1]Energiindhold!$C$10,0)*J245*IFERROR(VLOOKUP(A245,Biogasanlæg!$F$3:$G$8,2,FALSE),1)</f>
        <v>#REF!</v>
      </c>
      <c r="T245" s="193" t="e">
        <f t="shared" si="64"/>
        <v>#REF!</v>
      </c>
      <c r="U245" s="191" t="e">
        <f>O245*IFERROR(VLOOKUP(A245,[1]Tørstofindhold!A$2:B$25,2,FALSE),0)</f>
        <v>#REF!</v>
      </c>
      <c r="V245" s="192" t="e">
        <f>IF(D245=År1,P245,SUM(O245,P245))*IFERROR(VLOOKUP(A245,[1]Tørstofindhold!A$2:B$25,2,FALSE),0)</f>
        <v>#REF!</v>
      </c>
      <c r="W245" s="192" t="e">
        <f>J245*IFERROR(VLOOKUP(A245,[1]Tørstofindhold!A$2:B$25,2,FALSE),0)</f>
        <v>#REF!</v>
      </c>
      <c r="X245" s="193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55000000000000004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94723240.209220454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94723240.209220454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si="62"/>
        <v>0</v>
      </c>
      <c r="O246" s="195">
        <f t="shared" si="59"/>
        <v>0</v>
      </c>
      <c r="P246" s="205">
        <f t="shared" si="63"/>
        <v>94723240.209220454</v>
      </c>
      <c r="Q246" s="192">
        <f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>O246*IFERROR(VLOOKUP(A246,[1]Tørstofindhold!A$2:B$25,2,FALSE),0)</f>
        <v>0</v>
      </c>
      <c r="V246" s="192">
        <f>IF(D246=År1,P246,SUM(O246,P246))*IFERROR(VLOOKUP(A246,[1]Tørstofindhold!A$2:B$25,2,FALSE),0)</f>
        <v>0</v>
      </c>
      <c r="W246" s="192">
        <f>J246*IFERROR(VLOOKUP(A246,[1]Tørstofindhold!A$2:B$25,2,FALSE),0)</f>
        <v>0</v>
      </c>
      <c r="X246" s="193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55000000000000004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O247*IFERROR(VLOOKUP(A247,[1]Tørstofindhold!A$2:B$25,2,FALSE),0)</f>
        <v>0</v>
      </c>
      <c r="V247" s="192">
        <f>IF(D247=År1,P247,SUM(O247,P247))*IFERROR(VLOOKUP(A247,[1]Tørstofindhold!A$2:B$25,2,FALSE),0)</f>
        <v>0</v>
      </c>
      <c r="W247" s="192">
        <f>J247*IFERROR(VLOOKUP(A247,[1]Tørstofindhold!A$2:B$25,2,FALSE),0)</f>
        <v>0</v>
      </c>
      <c r="X247" s="193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55000000000000004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O248*IFERROR(VLOOKUP(A248,[1]Tørstofindhold!A$2:B$25,2,FALSE),0)</f>
        <v>0</v>
      </c>
      <c r="V248" s="192">
        <f>IF(D248=År1,P248,SUM(O248,P248))*IFERROR(VLOOKUP(A248,[1]Tørstofindhold!A$2:B$25,2,FALSE),0)</f>
        <v>0</v>
      </c>
      <c r="W248" s="192">
        <f>J248*IFERROR(VLOOKUP(A248,[1]Tørstofindhold!A$2:B$25,2,FALSE),0)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55000000000000004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O249*IFERROR(VLOOKUP(A249,[1]Tørstofindhold!A$2:B$25,2,FALSE),0)</f>
        <v>35147.202118277128</v>
      </c>
      <c r="V249" s="192">
        <f>IF(D249=År1,P249,SUM(O249,P249))*IFERROR(VLOOKUP(A249,[1]Tørstofindhold!A$2:B$25,2,FALSE),0)</f>
        <v>91705.91817067712</v>
      </c>
      <c r="W249" s="192">
        <f>J249*IFERROR(VLOOKUP(A249,[1]Tørstofindhold!A$2:B$25,2,FALSE),0)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55000000000000004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O250*IFERROR(VLOOKUP(A250,[1]Tørstofindhold!A$2:B$25,2,FALSE),0)</f>
        <v>0</v>
      </c>
      <c r="V250" s="192">
        <f>IF(D250=År1,P250,SUM(O250,P250))*IFERROR(VLOOKUP(A250,[1]Tørstofindhold!A$2:B$25,2,FALSE),0)</f>
        <v>0</v>
      </c>
      <c r="W250" s="192">
        <f>J250*IFERROR(VLOOKUP(A250,[1]Tørstofindhold!A$2:B$25,2,FALSE),0)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55000000000000004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273.74439328952366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87.804805394752975</v>
      </c>
      <c r="O251" s="195">
        <f t="shared" si="59"/>
        <v>87.804805394752975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4.1293721929098376E-5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2.1132669457832681E-4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4.1293721929098369E-5</v>
      </c>
      <c r="U251" s="191">
        <f>O251*IFERROR(VLOOKUP(A251,[1]Tørstofindhold!A$2:B$25,2,FALSE),0)</f>
        <v>5.5317027398694378</v>
      </c>
      <c r="V251" s="192">
        <f>IF(D251=År1,P251,SUM(O251,P251))*IFERROR(VLOOKUP(A251,[1]Tørstofindhold!A$2:B$25,2,FALSE),0)</f>
        <v>28.30930225697886</v>
      </c>
      <c r="W251" s="192">
        <f>J251*IFERROR(VLOOKUP(A251,[1]Tørstofindhold!A$2:B$25,2,FALSE),0)</f>
        <v>22.777599517109426</v>
      </c>
      <c r="X251" s="193">
        <f t="shared" si="65"/>
        <v>5.5317027398694343</v>
      </c>
      <c r="Y251" s="171">
        <f t="shared" si="60"/>
        <v>0</v>
      </c>
      <c r="Z251" s="103">
        <f t="shared" si="61"/>
        <v>1</v>
      </c>
    </row>
    <row r="252" spans="1:26" x14ac:dyDescent="0.55000000000000004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O252*IFERROR(VLOOKUP(A252,[1]Tørstofindhold!A$2:B$25,2,FALSE),0)</f>
        <v>0</v>
      </c>
      <c r="V252" s="192">
        <f>IF(D252=År1,P252,SUM(O252,P252))*IFERROR(VLOOKUP(A252,[1]Tørstofindhold!A$2:B$25,2,FALSE),0)</f>
        <v>0</v>
      </c>
      <c r="W252" s="192">
        <f>J252*IFERROR(VLOOKUP(A252,[1]Tørstofindhold!A$2:B$25,2,FALSE),0)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55000000000000004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O253*IFERROR(VLOOKUP(A253,[1]Tørstofindhold!A$2:B$25,2,FALSE),0)</f>
        <v>0</v>
      </c>
      <c r="V253" s="192">
        <f>IF(D253=År1,P253,SUM(O253,P253))*IFERROR(VLOOKUP(A253,[1]Tørstofindhold!A$2:B$25,2,FALSE),0)</f>
        <v>0</v>
      </c>
      <c r="W253" s="192">
        <f>J253*IFERROR(VLOOKUP(A253,[1]Tørstofindhold!A$2:B$25,2,FALSE),0)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55000000000000004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O254*IFERROR(VLOOKUP(A254,[1]Tørstofindhold!A$2:B$25,2,FALSE),0)</f>
        <v>0</v>
      </c>
      <c r="V254" s="192">
        <f>IF(D254=År1,P254,SUM(O254,P254))*IFERROR(VLOOKUP(A254,[1]Tørstofindhold!A$2:B$25,2,FALSE),0)</f>
        <v>0</v>
      </c>
      <c r="W254" s="192">
        <f>J254*IFERROR(VLOOKUP(A254,[1]Tørstofindhold!A$2:B$25,2,FALSE),0)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55000000000000004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O255*IFERROR(VLOOKUP(A255,[1]Tørstofindhold!A$2:B$25,2,FALSE),0)</f>
        <v>0</v>
      </c>
      <c r="V255" s="192">
        <f>IF(D255=År1,P255,SUM(O255,P255))*IFERROR(VLOOKUP(A255,[1]Tørstofindhold!A$2:B$25,2,FALSE),0)</f>
        <v>25693.56</v>
      </c>
      <c r="W255" s="192">
        <f>J255*IFERROR(VLOOKUP(A255,[1]Tørstofindhold!A$2:B$25,2,FALSE),0)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55000000000000004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O256*IFERROR(VLOOKUP(A256,[1]Tørstofindhold!A$2:B$25,2,FALSE),0)</f>
        <v>182401.03357898974</v>
      </c>
      <c r="V256" s="192">
        <f>IF(D256=År1,P256,SUM(O256,P256))*IFERROR(VLOOKUP(A256,[1]Tørstofindhold!A$2:B$25,2,FALSE),0)</f>
        <v>185243.01854899799</v>
      </c>
      <c r="W256" s="192">
        <f>J256*IFERROR(VLOOKUP(A256,[1]Tørstofindhold!A$2:B$25,2,FALSE),0)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55000000000000004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O257*IFERROR(VLOOKUP(A257,[1]Tørstofindhold!A$2:B$25,2,FALSE),0)</f>
        <v>0</v>
      </c>
      <c r="V257" s="192">
        <f>IF(D257=År1,P257,SUM(O257,P257))*IFERROR(VLOOKUP(A257,[1]Tørstofindhold!A$2:B$25,2,FALSE),0)</f>
        <v>0</v>
      </c>
      <c r="W257" s="192">
        <f>J257*IFERROR(VLOOKUP(A257,[1]Tørstofindhold!A$2:B$25,2,FALSE),0)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55000000000000004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O258*IFERROR(VLOOKUP(A258,[1]Tørstofindhold!A$2:B$25,2,FALSE),0)</f>
        <v>0</v>
      </c>
      <c r="V258" s="192">
        <f>IF(D258=År1,P258,SUM(O258,P258))*IFERROR(VLOOKUP(A258,[1]Tørstofindhold!A$2:B$25,2,FALSE),0)</f>
        <v>0</v>
      </c>
      <c r="W258" s="192">
        <f>J258*IFERROR(VLOOKUP(A258,[1]Tørstofindhold!A$2:B$25,2,FALSE),0)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55000000000000004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O259*IFERROR(VLOOKUP(A259,[1]Tørstofindhold!A$2:B$25,2,FALSE),0)</f>
        <v>0</v>
      </c>
      <c r="V259" s="192">
        <f>IF(D259=År1,P259,SUM(O259,P259))*IFERROR(VLOOKUP(A259,[1]Tørstofindhold!A$2:B$25,2,FALSE),0)</f>
        <v>611804.83588331472</v>
      </c>
      <c r="W259" s="192">
        <f>J259*IFERROR(VLOOKUP(A259,[1]Tørstofindhold!A$2:B$25,2,FALSE),0)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O260*IFERROR(VLOOKUP(A260,[1]Tørstofindhold!A$2:B$25,2,FALSE),0)</f>
        <v>0</v>
      </c>
      <c r="V260" s="192">
        <f>IF(D260=År1,P260,SUM(O260,P260))*IFERROR(VLOOKUP(A260,[1]Tørstofindhold!A$2:B$25,2,FALSE),0)</f>
        <v>137378.10748818054</v>
      </c>
      <c r="W260" s="192">
        <f>J260*IFERROR(VLOOKUP(A260,[1]Tørstofindhold!A$2:B$25,2,FALSE),0)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55000000000000004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O261*IFERROR(VLOOKUP(A261,[1]Tørstofindhold!A$2:B$25,2,FALSE),0)</f>
        <v>0</v>
      </c>
      <c r="V261" s="192">
        <f>IF(D261=År1,P261,SUM(O261,P261))*IFERROR(VLOOKUP(A261,[1]Tørstofindhold!A$2:B$25,2,FALSE),0)</f>
        <v>0</v>
      </c>
      <c r="W261" s="192">
        <f>J261*IFERROR(VLOOKUP(A261,[1]Tørstofindhold!A$2:B$25,2,FALSE),0)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55000000000000004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0.79296869270841919</v>
      </c>
      <c r="S262" s="192">
        <f>IFERROR(VLOOKUP(A262,[1]Biogasudbytte!$A$2:$B$18,2,FALSE)*[1]Energiindhold!$C$10,0)*J262*IFERROR(VLOOKUP(A262,Biogasanlæg!$F$3:$G$8,2,FALSE),1)</f>
        <v>0.79296869270841919</v>
      </c>
      <c r="T262" s="193">
        <f t="shared" si="64"/>
        <v>0</v>
      </c>
      <c r="U262" s="191">
        <f>O262*IFERROR(VLOOKUP(A262,[1]Tørstofindhold!A$2:B$25,2,FALSE),0)</f>
        <v>0</v>
      </c>
      <c r="V262" s="192">
        <f>IF(D262=År1,P262,SUM(O262,P262))*IFERROR(VLOOKUP(A262,[1]Tørstofindhold!A$2:B$25,2,FALSE),0)</f>
        <v>85400.635706120564</v>
      </c>
      <c r="W262" s="192">
        <f>J262*IFERROR(VLOOKUP(A262,[1]Tørstofindhold!A$2:B$25,2,FALSE),0)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55000000000000004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O263*IFERROR(VLOOKUP(A263,[1]Tørstofindhold!A$2:B$25,2,FALSE),0)</f>
        <v>0</v>
      </c>
      <c r="V263" s="192">
        <f>IF(D263=År1,P263,SUM(O263,P263))*IFERROR(VLOOKUP(A263,[1]Tørstofindhold!A$2:B$25,2,FALSE),0)</f>
        <v>0</v>
      </c>
      <c r="W263" s="192">
        <f>J263*IFERROR(VLOOKUP(A263,[1]Tørstofindhold!A$2:B$25,2,FALSE),0)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55000000000000004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O264*IFERROR(VLOOKUP(A264,[1]Tørstofindhold!A$2:B$25,2,FALSE),0)</f>
        <v>0</v>
      </c>
      <c r="V264" s="192">
        <f>IF(D264=År1,P264,SUM(O264,P264))*IFERROR(VLOOKUP(A264,[1]Tørstofindhold!A$2:B$25,2,FALSE),0)</f>
        <v>0</v>
      </c>
      <c r="W264" s="192">
        <f>J264*IFERROR(VLOOKUP(A264,[1]Tørstofindhold!A$2:B$25,2,FALSE),0)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55000000000000004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O265*IFERROR(VLOOKUP(A265,[1]Tørstofindhold!A$2:B$25,2,FALSE),0)</f>
        <v>424516.64075196284</v>
      </c>
      <c r="V265" s="192">
        <f>IF(D265=År1,P265,SUM(O265,P265))*IFERROR(VLOOKUP(A265,[1]Tørstofindhold!A$2:B$25,2,FALSE),0)</f>
        <v>424814.31638523459</v>
      </c>
      <c r="W265" s="192">
        <f>J265*IFERROR(VLOOKUP(A265,[1]Tørstofindhold!A$2:B$25,2,FALSE),0)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55000000000000004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O266*IFERROR(VLOOKUP(A266,[1]Tørstofindhold!A$2:B$25,2,FALSE),0)</f>
        <v>0</v>
      </c>
      <c r="V266" s="192">
        <f>IF(D266=År1,P266,SUM(O266,P266))*IFERROR(VLOOKUP(A266,[1]Tørstofindhold!A$2:B$25,2,FALSE),0)</f>
        <v>0</v>
      </c>
      <c r="W266" s="192">
        <f>J266*IFERROR(VLOOKUP(A266,[1]Tørstofindhold!A$2:B$25,2,FALSE),0)</f>
        <v>0</v>
      </c>
      <c r="X266" s="193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55000000000000004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143919.86867046604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73317.668945331825</v>
      </c>
      <c r="O267" s="195">
        <f t="shared" si="75"/>
        <v>73317.668945331825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3.7112670843437522E-2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0.38533032320161636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3.7112670843437501E-2</v>
      </c>
      <c r="U267" s="191">
        <f>O267*IFERROR(VLOOKUP(A267,[1]Tørstofindhold!A$2:B$25,2,FALSE),0)</f>
        <v>5572.142839845219</v>
      </c>
      <c r="V267" s="192">
        <f>IF(D267=År1,P267,SUM(O267,P267))*IFERROR(VLOOKUP(A267,[1]Tørstofindhold!A$2:B$25,2,FALSE),0)</f>
        <v>57853.976892713887</v>
      </c>
      <c r="W267" s="192">
        <f>J267*IFERROR(VLOOKUP(A267,[1]Tørstofindhold!A$2:B$25,2,FALSE),0)</f>
        <v>52281.834052868668</v>
      </c>
      <c r="X267" s="193">
        <f t="shared" si="65"/>
        <v>5572.142839845219</v>
      </c>
      <c r="Y267" s="171">
        <f t="shared" si="76"/>
        <v>0</v>
      </c>
      <c r="Z267" s="103">
        <f t="shared" si="77"/>
        <v>1</v>
      </c>
    </row>
    <row r="268" spans="1:26" x14ac:dyDescent="0.55000000000000004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O268*IFERROR(VLOOKUP(A268,[1]Tørstofindhold!A$2:B$25,2,FALSE),0)</f>
        <v>0</v>
      </c>
      <c r="V268" s="192">
        <f>IF(D268=År1,P268,SUM(O268,P268))*IFERROR(VLOOKUP(A268,[1]Tørstofindhold!A$2:B$25,2,FALSE),0)</f>
        <v>0</v>
      </c>
      <c r="W268" s="192">
        <f>J268*IFERROR(VLOOKUP(A268,[1]Tørstofindhold!A$2:B$25,2,FALSE),0)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55000000000000004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O269*IFERROR(VLOOKUP(A269,[1]Tørstofindhold!A$2:B$25,2,FALSE),0)</f>
        <v>0</v>
      </c>
      <c r="V269" s="192">
        <f>IF(D269=År1,P269,SUM(O269,P269))*IFERROR(VLOOKUP(A269,[1]Tørstofindhold!A$2:B$25,2,FALSE),0)</f>
        <v>4650.2626261592668</v>
      </c>
      <c r="W269" s="192">
        <f>J269*IFERROR(VLOOKUP(A269,[1]Tørstofindhold!A$2:B$25,2,FALSE),0)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55000000000000004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O270*IFERROR(VLOOKUP(A270,[1]Tørstofindhold!A$2:B$25,2,FALSE),0)</f>
        <v>0</v>
      </c>
      <c r="V270" s="192">
        <f>IF(D270=År1,P270,SUM(O270,P270))*IFERROR(VLOOKUP(A270,[1]Tørstofindhold!A$2:B$25,2,FALSE),0)</f>
        <v>0</v>
      </c>
      <c r="W270" s="192">
        <f>J270*IFERROR(VLOOKUP(A270,[1]Tørstofindhold!A$2:B$25,2,FALSE),0)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55000000000000004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O271*IFERROR(VLOOKUP(A271,[1]Tørstofindhold!A$2:B$25,2,FALSE),0)</f>
        <v>7297.504150601043</v>
      </c>
      <c r="V271" s="192">
        <f>IF(D271=År1,P271,SUM(O271,P271))*IFERROR(VLOOKUP(A271,[1]Tørstofindhold!A$2:B$25,2,FALSE),0)</f>
        <v>7297.504150601043</v>
      </c>
      <c r="W271" s="192">
        <f>J271*IFERROR(VLOOKUP(A271,[1]Tørstofindhold!A$2:B$25,2,FALSE),0)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55000000000000004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O272*IFERROR(VLOOKUP(A272,[1]Tørstofindhold!A$2:B$25,2,FALSE),0)</f>
        <v>0</v>
      </c>
      <c r="V272" s="192">
        <f>IF(D272=År1,P272,SUM(O272,P272))*IFERROR(VLOOKUP(A272,[1]Tørstofindhold!A$2:B$25,2,FALSE),0)</f>
        <v>0</v>
      </c>
      <c r="W272" s="192">
        <f>J272*IFERROR(VLOOKUP(A272,[1]Tørstofindhold!A$2:B$25,2,FALSE),0)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55000000000000004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O273*IFERROR(VLOOKUP(A273,[1]Tørstofindhold!A$2:B$25,2,FALSE),0)</f>
        <v>0</v>
      </c>
      <c r="V273" s="192">
        <f>IF(D273=År1,P273,SUM(O273,P273))*IFERROR(VLOOKUP(A273,[1]Tørstofindhold!A$2:B$25,2,FALSE),0)</f>
        <v>0</v>
      </c>
      <c r="W273" s="192">
        <f>J273*IFERROR(VLOOKUP(A273,[1]Tørstofindhold!A$2:B$25,2,FALSE),0)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55000000000000004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O274*IFERROR(VLOOKUP(A274,[1]Tørstofindhold!A$2:B$25,2,FALSE),0)</f>
        <v>0</v>
      </c>
      <c r="V274" s="192">
        <f>IF(D274=År1,P274,SUM(O274,P274))*IFERROR(VLOOKUP(A274,[1]Tørstofindhold!A$2:B$25,2,FALSE),0)</f>
        <v>15965.064109898862</v>
      </c>
      <c r="W274" s="192">
        <f>J274*IFERROR(VLOOKUP(A274,[1]Tørstofindhold!A$2:B$25,2,FALSE),0)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55000000000000004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O275*IFERROR(VLOOKUP(A275,[1]Tørstofindhold!A$2:B$25,2,FALSE),0)</f>
        <v>0</v>
      </c>
      <c r="V275" s="192">
        <f>IF(D275=År1,P275,SUM(O275,P275))*IFERROR(VLOOKUP(A275,[1]Tørstofindhold!A$2:B$25,2,FALSE),0)</f>
        <v>0</v>
      </c>
      <c r="W275" s="192">
        <f>J275*IFERROR(VLOOKUP(A275,[1]Tørstofindhold!A$2:B$25,2,FALSE),0)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55000000000000004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O276*IFERROR(VLOOKUP(A276,[1]Tørstofindhold!A$2:B$25,2,FALSE),0)</f>
        <v>0</v>
      </c>
      <c r="V276" s="192">
        <f>IF(D276=År1,P276,SUM(O276,P276))*IFERROR(VLOOKUP(A276,[1]Tørstofindhold!A$2:B$25,2,FALSE),0)</f>
        <v>0</v>
      </c>
      <c r="W276" s="192">
        <f>J276*IFERROR(VLOOKUP(A276,[1]Tørstofindhold!A$2:B$25,2,FALSE),0)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55000000000000004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O277*IFERROR(VLOOKUP(A277,[1]Tørstofindhold!A$2:B$25,2,FALSE),0)</f>
        <v>0</v>
      </c>
      <c r="V277" s="192">
        <f>IF(D277=År1,P277,SUM(O277,P277))*IFERROR(VLOOKUP(A277,[1]Tørstofindhold!A$2:B$25,2,FALSE),0)</f>
        <v>0</v>
      </c>
      <c r="W277" s="192">
        <f>J277*IFERROR(VLOOKUP(A277,[1]Tørstofindhold!A$2:B$25,2,FALSE),0)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O278*IFERROR(VLOOKUP(A278,[1]Tørstofindhold!A$2:B$25,2,FALSE),0)</f>
        <v>0</v>
      </c>
      <c r="V278" s="192">
        <f>IF(D278=År1,P278,SUM(O278,P278))*IFERROR(VLOOKUP(A278,[1]Tørstofindhold!A$2:B$25,2,FALSE),0)</f>
        <v>0</v>
      </c>
      <c r="W278" s="192">
        <f>J278*IFERROR(VLOOKUP(A278,[1]Tørstofindhold!A$2:B$25,2,FALSE),0)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55000000000000004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O279*IFERROR(VLOOKUP(A279,[1]Tørstofindhold!A$2:B$25,2,FALSE),0)</f>
        <v>0</v>
      </c>
      <c r="V279" s="192">
        <f>IF(D279=År1,P279,SUM(O279,P279))*IFERROR(VLOOKUP(A279,[1]Tørstofindhold!A$2:B$25,2,FALSE),0)</f>
        <v>0</v>
      </c>
      <c r="W279" s="192">
        <f>J279*IFERROR(VLOOKUP(A279,[1]Tørstofindhold!A$2:B$25,2,FALSE),0)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55000000000000004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O280*IFERROR(VLOOKUP(A280,[1]Tørstofindhold!A$2:B$25,2,FALSE),0)</f>
        <v>0</v>
      </c>
      <c r="V280" s="192">
        <f>IF(D280=År1,P280,SUM(O280,P280))*IFERROR(VLOOKUP(A280,[1]Tørstofindhold!A$2:B$25,2,FALSE),0)</f>
        <v>57996.317562033364</v>
      </c>
      <c r="W280" s="192">
        <f>J280*IFERROR(VLOOKUP(A280,[1]Tørstofindhold!A$2:B$25,2,FALSE),0)</f>
        <v>0</v>
      </c>
      <c r="X280" s="193">
        <f t="shared" si="65"/>
        <v>57996.317562033364</v>
      </c>
      <c r="Y280" s="171">
        <f t="shared" si="90"/>
        <v>0</v>
      </c>
      <c r="Z280" s="103">
        <f t="shared" si="91"/>
        <v>0</v>
      </c>
    </row>
    <row r="281" spans="1:26" x14ac:dyDescent="0.55000000000000004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O281*IFERROR(VLOOKUP(A281,[1]Tørstofindhold!A$2:B$25,2,FALSE),0)</f>
        <v>346056.01956505154</v>
      </c>
      <c r="V281" s="192">
        <f>IF(D281=År1,P281,SUM(O281,P281))*IFERROR(VLOOKUP(A281,[1]Tørstofindhold!A$2:B$25,2,FALSE),0)</f>
        <v>350978.20540992566</v>
      </c>
      <c r="W281" s="192">
        <f>J281*IFERROR(VLOOKUP(A281,[1]Tørstofindhold!A$2:B$25,2,FALSE),0)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55000000000000004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O282*IFERROR(VLOOKUP(A282,[1]Tørstofindhold!A$2:B$25,2,FALSE),0)</f>
        <v>0</v>
      </c>
      <c r="V282" s="192">
        <f>IF(D282=År1,P282,SUM(O282,P282))*IFERROR(VLOOKUP(A282,[1]Tørstofindhold!A$2:B$25,2,FALSE),0)</f>
        <v>0</v>
      </c>
      <c r="W282" s="192">
        <f>J282*IFERROR(VLOOKUP(A282,[1]Tørstofindhold!A$2:B$25,2,FALSE),0)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55000000000000004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O283*IFERROR(VLOOKUP(A283,[1]Tørstofindhold!A$2:B$25,2,FALSE),0)</f>
        <v>0</v>
      </c>
      <c r="V283" s="192">
        <f>IF(D283=År1,P283,SUM(O283,P283))*IFERROR(VLOOKUP(A283,[1]Tørstofindhold!A$2:B$25,2,FALSE),0)</f>
        <v>0</v>
      </c>
      <c r="W283" s="192">
        <f>J283*IFERROR(VLOOKUP(A283,[1]Tørstofindhold!A$2:B$25,2,FALSE),0)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55000000000000004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O284*IFERROR(VLOOKUP(A284,[1]Tørstofindhold!A$2:B$25,2,FALSE),0)</f>
        <v>130368.22692085565</v>
      </c>
      <c r="V284" s="192">
        <f>IF(D284=År1,P284,SUM(O284,P284))*IFERROR(VLOOKUP(A284,[1]Tørstofindhold!A$2:B$25,2,FALSE),0)</f>
        <v>210016.88951027396</v>
      </c>
      <c r="W284" s="192">
        <f>J284*IFERROR(VLOOKUP(A284,[1]Tørstofindhold!A$2:B$25,2,FALSE),0)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55000000000000004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O285*IFERROR(VLOOKUP(A285,[1]Tørstofindhold!A$2:B$25,2,FALSE),0)</f>
        <v>0</v>
      </c>
      <c r="V285" s="192">
        <f>IF(D285=År1,P285,SUM(O285,P285))*IFERROR(VLOOKUP(A285,[1]Tørstofindhold!A$2:B$25,2,FALSE),0)</f>
        <v>55416.732203387648</v>
      </c>
      <c r="W285" s="192">
        <f>J285*IFERROR(VLOOKUP(A285,[1]Tørstofindhold!A$2:B$25,2,FALSE),0)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55000000000000004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O286*IFERROR(VLOOKUP(A286,[1]Tørstofindhold!A$2:B$25,2,FALSE),0)</f>
        <v>0</v>
      </c>
      <c r="V286" s="192">
        <f>IF(D286=År1,P286,SUM(O286,P286))*IFERROR(VLOOKUP(A286,[1]Tørstofindhold!A$2:B$25,2,FALSE),0)</f>
        <v>0</v>
      </c>
      <c r="W286" s="192">
        <f>J286*IFERROR(VLOOKUP(A286,[1]Tørstofindhold!A$2:B$25,2,FALSE),0)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55000000000000004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O287*IFERROR(VLOOKUP(A287,[1]Tørstofindhold!A$2:B$25,2,FALSE),0)</f>
        <v>675</v>
      </c>
      <c r="V287" s="192">
        <f>IF(D287=År1,P287,SUM(O287,P287))*IFERROR(VLOOKUP(A287,[1]Tørstofindhold!A$2:B$25,2,FALSE),0)</f>
        <v>675</v>
      </c>
      <c r="W287" s="192">
        <f>J287*IFERROR(VLOOKUP(A287,[1]Tørstofindhold!A$2:B$25,2,FALSE),0)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55000000000000004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O288*IFERROR(VLOOKUP(A288,[1]Tørstofindhold!A$2:B$25,2,FALSE),0)</f>
        <v>0</v>
      </c>
      <c r="V288" s="192">
        <f>IF(D288=År1,P288,SUM(O288,P288))*IFERROR(VLOOKUP(A288,[1]Tørstofindhold!A$2:B$25,2,FALSE),0)</f>
        <v>0</v>
      </c>
      <c r="W288" s="192">
        <f>J288*IFERROR(VLOOKUP(A288,[1]Tørstofindhold!A$2:B$25,2,FALSE),0)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55000000000000004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O289*IFERROR(VLOOKUP(A289,[1]Tørstofindhold!A$2:B$25,2,FALSE),0)</f>
        <v>0</v>
      </c>
      <c r="V289" s="192">
        <f>IF(D289=År1,P289,SUM(O289,P289))*IFERROR(VLOOKUP(A289,[1]Tørstofindhold!A$2:B$25,2,FALSE),0)</f>
        <v>289386.06118651538</v>
      </c>
      <c r="W289" s="192">
        <f>J289*IFERROR(VLOOKUP(A289,[1]Tørstofindhold!A$2:B$25,2,FALSE),0)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4.7" thickBot="1" x14ac:dyDescent="0.6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O290*IFERROR(VLOOKUP(A290,[1]Tørstofindhold!A$2:B$25,2,FALSE),0)</f>
        <v>0</v>
      </c>
      <c r="V290" s="197">
        <f>IF(D290=År1,P290,SUM(O290,P290))*IFERROR(VLOOKUP(A290,[1]Tørstofindhold!A$2:B$25,2,FALSE),0)</f>
        <v>0</v>
      </c>
      <c r="W290" s="197">
        <f>J290*IFERROR(VLOOKUP(A290,[1]Tørstofindhold!A$2:B$25,2,FALSE),0)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22" workbookViewId="0">
      <selection activeCell="F9" sqref="F9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284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285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286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287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288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289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55000000000000004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4.7" thickBot="1" x14ac:dyDescent="0.6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G33"/>
  <sheetViews>
    <sheetView topLeftCell="A2" workbookViewId="0">
      <selection activeCell="B5" sqref="B5:AG23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10.3671875" bestFit="1" customWidth="1"/>
    <col min="5" max="5" width="3.7890625" bestFit="1" customWidth="1"/>
    <col min="6" max="6" width="10.734375" bestFit="1" customWidth="1"/>
    <col min="7" max="7" width="9.9453125" bestFit="1" customWidth="1"/>
    <col min="8" max="8" width="4.9453125" bestFit="1" customWidth="1"/>
    <col min="9" max="9" width="7.3671875" bestFit="1" customWidth="1"/>
    <col min="10" max="10" width="4.9453125" bestFit="1" customWidth="1"/>
    <col min="11" max="11" width="9.7890625" bestFit="1" customWidth="1"/>
    <col min="12" max="12" width="4.89453125" bestFit="1" customWidth="1"/>
    <col min="13" max="13" width="14" bestFit="1" customWidth="1"/>
    <col min="14" max="14" width="13.15625" bestFit="1" customWidth="1"/>
    <col min="15" max="15" width="11.68359375" bestFit="1" customWidth="1"/>
    <col min="16" max="16" width="7.89453125" bestFit="1" customWidth="1"/>
    <col min="17" max="17" width="4.5234375" bestFit="1" customWidth="1"/>
    <col min="18" max="18" width="9" bestFit="1" customWidth="1"/>
    <col min="19" max="19" width="12.20703125" bestFit="1" customWidth="1"/>
    <col min="20" max="20" width="4.578125" bestFit="1" customWidth="1"/>
    <col min="21" max="21" width="14.26171875" bestFit="1" customWidth="1"/>
    <col min="22" max="22" width="7.7890625" bestFit="1" customWidth="1"/>
    <col min="23" max="23" width="4.578125" bestFit="1" customWidth="1"/>
    <col min="24" max="24" width="4.5234375" bestFit="1" customWidth="1"/>
    <col min="25" max="25" width="18.47265625" bestFit="1" customWidth="1"/>
    <col min="26" max="26" width="14.26171875" bestFit="1" customWidth="1"/>
    <col min="27" max="27" width="8.89453125" bestFit="1" customWidth="1"/>
    <col min="28" max="28" width="8.1015625" bestFit="1" customWidth="1"/>
    <col min="29" max="29" width="10.578125" bestFit="1" customWidth="1"/>
    <col min="30" max="30" width="11.47265625" bestFit="1" customWidth="1"/>
    <col min="31" max="31" width="8.41796875" bestFit="1" customWidth="1"/>
    <col min="32" max="32" width="7.578125" bestFit="1" customWidth="1"/>
    <col min="33" max="33" width="10.20703125" bestFit="1" customWidth="1"/>
    <col min="34" max="34" width="9.83984375" bestFit="1" customWidth="1"/>
    <col min="35" max="35" width="11.89453125" bestFit="1" customWidth="1"/>
    <col min="36" max="36" width="10.20703125" bestFit="1" customWidth="1"/>
    <col min="37" max="37" width="12" bestFit="1" customWidth="1"/>
    <col min="38" max="38" width="11.26171875" bestFit="1" customWidth="1"/>
    <col min="39" max="39" width="11.6835937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3" x14ac:dyDescent="0.55000000000000004">
      <c r="A3" s="77" t="s">
        <v>175</v>
      </c>
      <c r="B3" s="77" t="s">
        <v>62</v>
      </c>
    </row>
    <row r="4" spans="1:33" x14ac:dyDescent="0.55000000000000004">
      <c r="A4" s="77" t="s">
        <v>60</v>
      </c>
      <c r="B4" s="171" t="s">
        <v>15</v>
      </c>
      <c r="C4" s="171" t="s">
        <v>49</v>
      </c>
      <c r="D4" s="171" t="s">
        <v>102</v>
      </c>
      <c r="E4" s="171" t="s">
        <v>19</v>
      </c>
      <c r="F4" s="171" t="s">
        <v>138</v>
      </c>
      <c r="G4" s="171" t="s">
        <v>97</v>
      </c>
      <c r="H4" s="171" t="s">
        <v>54</v>
      </c>
      <c r="I4" s="171" t="s">
        <v>159</v>
      </c>
      <c r="J4" s="171" t="s">
        <v>51</v>
      </c>
      <c r="K4" s="171" t="s">
        <v>6</v>
      </c>
      <c r="L4" s="171" t="s">
        <v>68</v>
      </c>
      <c r="M4" s="171" t="s">
        <v>163</v>
      </c>
      <c r="N4" s="171" t="s">
        <v>160</v>
      </c>
      <c r="O4" s="171" t="s">
        <v>104</v>
      </c>
      <c r="P4" s="171" t="s">
        <v>12</v>
      </c>
      <c r="Q4" s="171" t="s">
        <v>48</v>
      </c>
      <c r="R4" s="171" t="s">
        <v>137</v>
      </c>
      <c r="S4" s="171" t="s">
        <v>109</v>
      </c>
      <c r="T4" s="171" t="s">
        <v>53</v>
      </c>
      <c r="U4" s="171" t="s">
        <v>117</v>
      </c>
      <c r="V4" s="171" t="s">
        <v>14</v>
      </c>
      <c r="W4" s="171" t="s">
        <v>50</v>
      </c>
      <c r="X4" s="171" t="s">
        <v>52</v>
      </c>
      <c r="Y4" s="171" t="s">
        <v>108</v>
      </c>
      <c r="Z4" s="171" t="s">
        <v>141</v>
      </c>
      <c r="AA4" s="171" t="s">
        <v>136</v>
      </c>
      <c r="AB4" s="171" t="s">
        <v>13</v>
      </c>
      <c r="AC4" s="171" t="s">
        <v>96</v>
      </c>
      <c r="AD4" s="171" t="s">
        <v>120</v>
      </c>
      <c r="AE4" s="171" t="s">
        <v>241</v>
      </c>
      <c r="AF4" s="171" t="s">
        <v>234</v>
      </c>
      <c r="AG4" s="171" t="s">
        <v>61</v>
      </c>
    </row>
    <row r="5" spans="1:33" x14ac:dyDescent="0.55000000000000004">
      <c r="A5" s="78" t="s">
        <v>110</v>
      </c>
      <c r="B5" s="242"/>
      <c r="C5" s="242"/>
      <c r="D5" s="242">
        <v>3840095.3813778022</v>
      </c>
      <c r="E5" s="242"/>
      <c r="F5" s="242">
        <v>13632.279090274656</v>
      </c>
      <c r="G5" s="242"/>
      <c r="H5" s="242"/>
      <c r="I5" s="242">
        <v>428226</v>
      </c>
      <c r="J5" s="242">
        <v>257031</v>
      </c>
      <c r="K5" s="242"/>
      <c r="L5" s="242">
        <v>227802</v>
      </c>
      <c r="M5" s="242">
        <v>234</v>
      </c>
      <c r="N5" s="242"/>
      <c r="O5" s="242">
        <v>2444654</v>
      </c>
      <c r="P5" s="242"/>
      <c r="Q5" s="242">
        <v>11358</v>
      </c>
      <c r="R5" s="242">
        <v>25289114.74956274</v>
      </c>
      <c r="S5" s="242"/>
      <c r="T5" s="242">
        <v>990078</v>
      </c>
      <c r="U5" s="242"/>
      <c r="V5" s="242"/>
      <c r="W5" s="242"/>
      <c r="X5" s="242">
        <v>85935</v>
      </c>
      <c r="Y5" s="242"/>
      <c r="Z5" s="242">
        <v>8334841.759060693</v>
      </c>
      <c r="AA5" s="242">
        <v>20819659.111597929</v>
      </c>
      <c r="AB5" s="242"/>
      <c r="AC5" s="242"/>
      <c r="AD5" s="242"/>
      <c r="AE5" s="242"/>
      <c r="AF5" s="242"/>
      <c r="AG5" s="242">
        <v>62742661.280689433</v>
      </c>
    </row>
    <row r="6" spans="1:33" x14ac:dyDescent="0.55000000000000004">
      <c r="A6" s="79">
        <v>2019</v>
      </c>
      <c r="B6" s="242"/>
      <c r="C6" s="242"/>
      <c r="D6" s="242">
        <v>757087.00000000012</v>
      </c>
      <c r="E6" s="242"/>
      <c r="F6" s="242">
        <v>4441.5</v>
      </c>
      <c r="G6" s="242"/>
      <c r="H6" s="242"/>
      <c r="I6" s="242">
        <v>142742</v>
      </c>
      <c r="J6" s="242">
        <v>85676.999999999985</v>
      </c>
      <c r="K6" s="242"/>
      <c r="L6" s="242">
        <v>75934</v>
      </c>
      <c r="M6" s="242">
        <v>78</v>
      </c>
      <c r="N6" s="242"/>
      <c r="O6" s="242">
        <v>995654</v>
      </c>
      <c r="P6" s="242"/>
      <c r="Q6" s="242">
        <v>3785.9999999999991</v>
      </c>
      <c r="R6" s="242">
        <v>4353509.666666667</v>
      </c>
      <c r="S6" s="242"/>
      <c r="T6" s="242">
        <v>330026</v>
      </c>
      <c r="U6" s="242"/>
      <c r="V6" s="242"/>
      <c r="W6" s="242"/>
      <c r="X6" s="242">
        <v>28645.000000000004</v>
      </c>
      <c r="Y6" s="242"/>
      <c r="Z6" s="242">
        <v>2668834</v>
      </c>
      <c r="AA6" s="242">
        <v>2914869.3333333335</v>
      </c>
      <c r="AB6" s="242"/>
      <c r="AC6" s="242"/>
      <c r="AD6" s="242"/>
      <c r="AE6" s="242"/>
      <c r="AF6" s="242"/>
      <c r="AG6" s="242">
        <v>12361283.500000002</v>
      </c>
    </row>
    <row r="7" spans="1:33" x14ac:dyDescent="0.55000000000000004">
      <c r="A7" s="79">
        <v>2030</v>
      </c>
      <c r="B7" s="242"/>
      <c r="C7" s="242"/>
      <c r="D7" s="242">
        <v>1505490.464025514</v>
      </c>
      <c r="E7" s="242"/>
      <c r="F7" s="242">
        <v>4521.4640303491688</v>
      </c>
      <c r="G7" s="242"/>
      <c r="H7" s="242"/>
      <c r="I7" s="242">
        <v>142742</v>
      </c>
      <c r="J7" s="242">
        <v>85677.000000000029</v>
      </c>
      <c r="K7" s="242"/>
      <c r="L7" s="242">
        <v>75933.999999999985</v>
      </c>
      <c r="M7" s="242">
        <v>78</v>
      </c>
      <c r="N7" s="242"/>
      <c r="O7" s="242">
        <v>725967.99999999977</v>
      </c>
      <c r="P7" s="242"/>
      <c r="Q7" s="242">
        <v>3786.0000000000009</v>
      </c>
      <c r="R7" s="242">
        <v>10568777.271841513</v>
      </c>
      <c r="S7" s="242"/>
      <c r="T7" s="242">
        <v>330026</v>
      </c>
      <c r="U7" s="242"/>
      <c r="V7" s="242"/>
      <c r="W7" s="242"/>
      <c r="X7" s="242">
        <v>28644.999999999996</v>
      </c>
      <c r="Y7" s="242"/>
      <c r="Z7" s="242">
        <v>2775329.8009308982</v>
      </c>
      <c r="AA7" s="242">
        <v>9147340.4973796755</v>
      </c>
      <c r="AB7" s="242"/>
      <c r="AC7" s="242"/>
      <c r="AD7" s="242"/>
      <c r="AE7" s="242"/>
      <c r="AF7" s="242"/>
      <c r="AG7" s="242">
        <v>25394315.498207949</v>
      </c>
    </row>
    <row r="8" spans="1:33" x14ac:dyDescent="0.55000000000000004">
      <c r="A8" s="79">
        <v>2050</v>
      </c>
      <c r="B8" s="242"/>
      <c r="C8" s="242"/>
      <c r="D8" s="242">
        <v>1577517.9173522878</v>
      </c>
      <c r="E8" s="242"/>
      <c r="F8" s="242">
        <v>4669.3150599254868</v>
      </c>
      <c r="G8" s="242"/>
      <c r="H8" s="242"/>
      <c r="I8" s="242">
        <v>142742</v>
      </c>
      <c r="J8" s="242">
        <v>85677</v>
      </c>
      <c r="K8" s="242"/>
      <c r="L8" s="242">
        <v>75934</v>
      </c>
      <c r="M8" s="242">
        <v>78</v>
      </c>
      <c r="N8" s="242"/>
      <c r="O8" s="242">
        <v>723032.00000000023</v>
      </c>
      <c r="P8" s="242"/>
      <c r="Q8" s="242">
        <v>3786</v>
      </c>
      <c r="R8" s="242">
        <v>10366827.811054559</v>
      </c>
      <c r="S8" s="242"/>
      <c r="T8" s="242">
        <v>330026</v>
      </c>
      <c r="U8" s="242"/>
      <c r="V8" s="242"/>
      <c r="W8" s="242"/>
      <c r="X8" s="242">
        <v>28644.999999999996</v>
      </c>
      <c r="Y8" s="242"/>
      <c r="Z8" s="242">
        <v>2890677.9581297943</v>
      </c>
      <c r="AA8" s="242">
        <v>8757449.2808849197</v>
      </c>
      <c r="AB8" s="242"/>
      <c r="AC8" s="242"/>
      <c r="AD8" s="242"/>
      <c r="AE8" s="242"/>
      <c r="AF8" s="242"/>
      <c r="AG8" s="242">
        <v>24987062.282481484</v>
      </c>
    </row>
    <row r="9" spans="1:33" x14ac:dyDescent="0.55000000000000004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>
        <v>41219273.95581004</v>
      </c>
      <c r="K9" s="242"/>
      <c r="L9" s="242">
        <v>2603926.024732016</v>
      </c>
      <c r="M9" s="242"/>
      <c r="N9" s="242">
        <v>16263222.796414331</v>
      </c>
      <c r="O9" s="242"/>
      <c r="P9" s="242">
        <v>0</v>
      </c>
      <c r="Q9" s="242">
        <v>19802510.429103382</v>
      </c>
      <c r="R9" s="242"/>
      <c r="S9" s="242">
        <v>5105264.0021397118</v>
      </c>
      <c r="T9" s="242">
        <v>19054221.142737754</v>
      </c>
      <c r="U9" s="242"/>
      <c r="V9" s="242"/>
      <c r="W9" s="242"/>
      <c r="X9" s="242">
        <v>2833240.4834569679</v>
      </c>
      <c r="Y9" s="242">
        <v>132761.00241970882</v>
      </c>
      <c r="Z9" s="242"/>
      <c r="AA9" s="242"/>
      <c r="AB9" s="242"/>
      <c r="AC9" s="242"/>
      <c r="AD9" s="242"/>
      <c r="AE9" s="242">
        <v>721133.62677978189</v>
      </c>
      <c r="AF9" s="242"/>
      <c r="AG9" s="242">
        <v>107952798.74028048</v>
      </c>
    </row>
    <row r="10" spans="1:33" x14ac:dyDescent="0.55000000000000004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>
        <v>13739757.985270014</v>
      </c>
      <c r="K10" s="242"/>
      <c r="L10" s="242">
        <v>867975.34157733875</v>
      </c>
      <c r="M10" s="242"/>
      <c r="N10" s="242">
        <v>5421074.2654714445</v>
      </c>
      <c r="O10" s="242"/>
      <c r="P10" s="242">
        <v>0</v>
      </c>
      <c r="Q10" s="242">
        <v>6600836.8097011279</v>
      </c>
      <c r="R10" s="242"/>
      <c r="S10" s="242">
        <v>1701754.6673799041</v>
      </c>
      <c r="T10" s="242">
        <v>6351407.0475792512</v>
      </c>
      <c r="U10" s="242"/>
      <c r="V10" s="242"/>
      <c r="W10" s="242"/>
      <c r="X10" s="242">
        <v>944413.49448565592</v>
      </c>
      <c r="Y10" s="242">
        <v>44253.667473236274</v>
      </c>
      <c r="Z10" s="242"/>
      <c r="AA10" s="242"/>
      <c r="AB10" s="242"/>
      <c r="AC10" s="242"/>
      <c r="AD10" s="242"/>
      <c r="AE10" s="242">
        <v>240377.87559326066</v>
      </c>
      <c r="AF10" s="242"/>
      <c r="AG10" s="242">
        <v>35984266.24676016</v>
      </c>
    </row>
    <row r="11" spans="1:33" x14ac:dyDescent="0.55000000000000004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>
        <v>13739757.985270012</v>
      </c>
      <c r="K11" s="242"/>
      <c r="L11" s="242">
        <v>867975.34157733864</v>
      </c>
      <c r="M11" s="242"/>
      <c r="N11" s="242">
        <v>5421074.2654714435</v>
      </c>
      <c r="O11" s="242"/>
      <c r="P11" s="242">
        <v>0</v>
      </c>
      <c r="Q11" s="242">
        <v>6600836.809701127</v>
      </c>
      <c r="R11" s="242"/>
      <c r="S11" s="242">
        <v>1701754.6673799036</v>
      </c>
      <c r="T11" s="242">
        <v>6351407.0475792503</v>
      </c>
      <c r="U11" s="242"/>
      <c r="V11" s="242"/>
      <c r="W11" s="242"/>
      <c r="X11" s="242">
        <v>944413.49448565592</v>
      </c>
      <c r="Y11" s="242">
        <v>44253.667473236274</v>
      </c>
      <c r="Z11" s="242"/>
      <c r="AA11" s="242"/>
      <c r="AB11" s="242"/>
      <c r="AC11" s="242"/>
      <c r="AD11" s="242"/>
      <c r="AE11" s="242">
        <v>240377.87559326063</v>
      </c>
      <c r="AF11" s="242"/>
      <c r="AG11" s="242">
        <v>35984266.246760152</v>
      </c>
    </row>
    <row r="12" spans="1:33" x14ac:dyDescent="0.55000000000000004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>
        <v>13739757.985270012</v>
      </c>
      <c r="K12" s="242"/>
      <c r="L12" s="242">
        <v>867975.34157733864</v>
      </c>
      <c r="M12" s="242"/>
      <c r="N12" s="242">
        <v>5421074.2654714435</v>
      </c>
      <c r="O12" s="242"/>
      <c r="P12" s="242">
        <v>0</v>
      </c>
      <c r="Q12" s="242">
        <v>6600836.809701127</v>
      </c>
      <c r="R12" s="242"/>
      <c r="S12" s="242">
        <v>1701754.6673799036</v>
      </c>
      <c r="T12" s="242">
        <v>6351407.0475792503</v>
      </c>
      <c r="U12" s="242"/>
      <c r="V12" s="242"/>
      <c r="W12" s="242"/>
      <c r="X12" s="242">
        <v>944413.49448565592</v>
      </c>
      <c r="Y12" s="242">
        <v>44253.667473236274</v>
      </c>
      <c r="Z12" s="242"/>
      <c r="AA12" s="242"/>
      <c r="AB12" s="242"/>
      <c r="AC12" s="242"/>
      <c r="AD12" s="242"/>
      <c r="AE12" s="242">
        <v>240377.87559326063</v>
      </c>
      <c r="AF12" s="242"/>
      <c r="AG12" s="242">
        <v>35984266.246760152</v>
      </c>
    </row>
    <row r="13" spans="1:33" x14ac:dyDescent="0.55000000000000004">
      <c r="A13" s="78" t="s">
        <v>128</v>
      </c>
      <c r="B13" s="242">
        <v>182574.19618217932</v>
      </c>
      <c r="C13" s="242">
        <v>0</v>
      </c>
      <c r="D13" s="242"/>
      <c r="E13" s="242">
        <v>281468.55244752642</v>
      </c>
      <c r="F13" s="242"/>
      <c r="G13" s="242">
        <v>197788.71253069426</v>
      </c>
      <c r="H13" s="242">
        <v>1445379.0531089196</v>
      </c>
      <c r="I13" s="242"/>
      <c r="J13" s="242"/>
      <c r="K13" s="242">
        <v>1513844.376677237</v>
      </c>
      <c r="L13" s="242"/>
      <c r="M13" s="242"/>
      <c r="N13" s="242"/>
      <c r="O13" s="242"/>
      <c r="P13" s="242">
        <v>692260.49385742994</v>
      </c>
      <c r="Q13" s="242">
        <v>1658382.281988129</v>
      </c>
      <c r="R13" s="242"/>
      <c r="S13" s="242"/>
      <c r="T13" s="242"/>
      <c r="U13" s="242">
        <v>2647325.8446415998</v>
      </c>
      <c r="V13" s="242">
        <v>336392.95646566537</v>
      </c>
      <c r="W13" s="242"/>
      <c r="X13" s="242"/>
      <c r="Y13" s="242"/>
      <c r="Z13" s="242"/>
      <c r="AA13" s="242"/>
      <c r="AB13" s="242">
        <v>682979.63888483576</v>
      </c>
      <c r="AC13" s="242"/>
      <c r="AD13" s="242"/>
      <c r="AE13" s="242"/>
      <c r="AF13" s="242"/>
      <c r="AG13" s="242">
        <v>9638396.1067842171</v>
      </c>
    </row>
    <row r="14" spans="1:33" x14ac:dyDescent="0.55000000000000004">
      <c r="A14" s="79">
        <v>2019</v>
      </c>
      <c r="B14" s="242">
        <v>58403.100598004137</v>
      </c>
      <c r="C14" s="242">
        <v>0</v>
      </c>
      <c r="D14" s="242"/>
      <c r="E14" s="242">
        <v>90038.113421923044</v>
      </c>
      <c r="F14" s="242"/>
      <c r="G14" s="242">
        <v>63270.025647837821</v>
      </c>
      <c r="H14" s="242">
        <v>462357.87973419944</v>
      </c>
      <c r="I14" s="242"/>
      <c r="J14" s="242"/>
      <c r="K14" s="242">
        <v>484259.042458451</v>
      </c>
      <c r="L14" s="242"/>
      <c r="M14" s="242"/>
      <c r="N14" s="242"/>
      <c r="O14" s="242"/>
      <c r="P14" s="242">
        <v>221445.08976743236</v>
      </c>
      <c r="Q14" s="242">
        <v>530494.83043187088</v>
      </c>
      <c r="R14" s="242"/>
      <c r="S14" s="242"/>
      <c r="T14" s="242"/>
      <c r="U14" s="242">
        <v>846844.95867106004</v>
      </c>
      <c r="V14" s="242">
        <v>107607.71285182264</v>
      </c>
      <c r="W14" s="242"/>
      <c r="X14" s="242"/>
      <c r="Y14" s="242"/>
      <c r="Z14" s="242"/>
      <c r="AA14" s="242"/>
      <c r="AB14" s="242">
        <v>218476.26548703379</v>
      </c>
      <c r="AC14" s="242"/>
      <c r="AD14" s="242"/>
      <c r="AE14" s="242"/>
      <c r="AF14" s="242"/>
      <c r="AG14" s="242">
        <v>3083197.0190696353</v>
      </c>
    </row>
    <row r="15" spans="1:33" x14ac:dyDescent="0.55000000000000004">
      <c r="A15" s="79">
        <v>2030</v>
      </c>
      <c r="B15" s="242">
        <v>60789.12467762841</v>
      </c>
      <c r="C15" s="242">
        <v>0</v>
      </c>
      <c r="D15" s="242"/>
      <c r="E15" s="242">
        <v>93716.56721134379</v>
      </c>
      <c r="F15" s="242"/>
      <c r="G15" s="242">
        <v>65854.885067430776</v>
      </c>
      <c r="H15" s="242">
        <v>481247.23703122488</v>
      </c>
      <c r="I15" s="242"/>
      <c r="J15" s="242"/>
      <c r="K15" s="242">
        <v>504043.1587853356</v>
      </c>
      <c r="L15" s="242"/>
      <c r="M15" s="242"/>
      <c r="N15" s="242"/>
      <c r="O15" s="242"/>
      <c r="P15" s="242">
        <v>230492.09773600774</v>
      </c>
      <c r="Q15" s="242">
        <v>552167.88248845807</v>
      </c>
      <c r="R15" s="242"/>
      <c r="S15" s="242"/>
      <c r="T15" s="242"/>
      <c r="U15" s="242">
        <v>881442.3078256119</v>
      </c>
      <c r="V15" s="242">
        <v>112003.96221853035</v>
      </c>
      <c r="W15" s="242"/>
      <c r="X15" s="242"/>
      <c r="Y15" s="242"/>
      <c r="Z15" s="242"/>
      <c r="AA15" s="242"/>
      <c r="AB15" s="242">
        <v>227401.98389822827</v>
      </c>
      <c r="AC15" s="242"/>
      <c r="AD15" s="242"/>
      <c r="AE15" s="242"/>
      <c r="AF15" s="242"/>
      <c r="AG15" s="242">
        <v>3209159.2069397997</v>
      </c>
    </row>
    <row r="16" spans="1:33" x14ac:dyDescent="0.55000000000000004">
      <c r="A16" s="79">
        <v>2050</v>
      </c>
      <c r="B16" s="242">
        <v>63381.970906546776</v>
      </c>
      <c r="C16" s="242">
        <v>0</v>
      </c>
      <c r="D16" s="242"/>
      <c r="E16" s="242">
        <v>97713.871814259604</v>
      </c>
      <c r="F16" s="242"/>
      <c r="G16" s="242">
        <v>68663.801815425672</v>
      </c>
      <c r="H16" s="242">
        <v>501773.93634349527</v>
      </c>
      <c r="I16" s="242"/>
      <c r="J16" s="242"/>
      <c r="K16" s="242">
        <v>525542.17543345026</v>
      </c>
      <c r="L16" s="242"/>
      <c r="M16" s="242"/>
      <c r="N16" s="242"/>
      <c r="O16" s="242"/>
      <c r="P16" s="242">
        <v>240323.30635398987</v>
      </c>
      <c r="Q16" s="242">
        <v>575719.56906779984</v>
      </c>
      <c r="R16" s="242"/>
      <c r="S16" s="242"/>
      <c r="T16" s="242"/>
      <c r="U16" s="242">
        <v>919038.57814492821</v>
      </c>
      <c r="V16" s="242">
        <v>116781.28139531243</v>
      </c>
      <c r="W16" s="242"/>
      <c r="X16" s="242"/>
      <c r="Y16" s="242"/>
      <c r="Z16" s="242"/>
      <c r="AA16" s="242"/>
      <c r="AB16" s="242">
        <v>237101.38949957371</v>
      </c>
      <c r="AC16" s="242"/>
      <c r="AD16" s="242"/>
      <c r="AE16" s="242"/>
      <c r="AF16" s="242"/>
      <c r="AG16" s="242">
        <v>3346039.8807747816</v>
      </c>
    </row>
    <row r="17" spans="1:33" x14ac:dyDescent="0.55000000000000004">
      <c r="A17" s="78" t="s">
        <v>121</v>
      </c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>
        <v>5397115.7608660124</v>
      </c>
      <c r="M17" s="242">
        <v>2948193</v>
      </c>
      <c r="N17" s="242"/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>
        <v>636963.68412800436</v>
      </c>
      <c r="AD17" s="242">
        <v>8445237.9421698824</v>
      </c>
      <c r="AE17" s="242"/>
      <c r="AF17" s="242">
        <v>452470.33227796666</v>
      </c>
      <c r="AG17" s="242">
        <v>17879980.719441865</v>
      </c>
    </row>
    <row r="18" spans="1:33" x14ac:dyDescent="0.55000000000000004">
      <c r="A18" s="79">
        <v>2019</v>
      </c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>
        <v>1893765.2125355615</v>
      </c>
      <c r="M18" s="242">
        <v>982731</v>
      </c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>
        <v>209782.38739500003</v>
      </c>
      <c r="AD18" s="242">
        <v>3010238.4923246857</v>
      </c>
      <c r="AE18" s="242"/>
      <c r="AF18" s="242">
        <v>4341.810030581958</v>
      </c>
      <c r="AG18" s="242">
        <v>6100858.9022858301</v>
      </c>
    </row>
    <row r="19" spans="1:33" x14ac:dyDescent="0.55000000000000004">
      <c r="A19" s="79">
        <v>2030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>
        <v>1802534.1213624873</v>
      </c>
      <c r="M19" s="242">
        <v>982731</v>
      </c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>
        <v>216936.14364827855</v>
      </c>
      <c r="AD19" s="242">
        <v>2848752.9835421797</v>
      </c>
      <c r="AE19" s="242"/>
      <c r="AF19" s="242">
        <v>227903.51886082417</v>
      </c>
      <c r="AG19" s="242">
        <v>6078857.7674137698</v>
      </c>
    </row>
    <row r="20" spans="1:33" x14ac:dyDescent="0.55000000000000004">
      <c r="A20" s="79">
        <v>2050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>
        <v>1700816.4269679631</v>
      </c>
      <c r="M20" s="242">
        <v>982731</v>
      </c>
      <c r="N20" s="242"/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>
        <v>210245.15308472581</v>
      </c>
      <c r="AD20" s="242">
        <v>2586246.4663030161</v>
      </c>
      <c r="AE20" s="242"/>
      <c r="AF20" s="242">
        <v>220225.00338656051</v>
      </c>
      <c r="AG20" s="242">
        <v>5700264.0497422656</v>
      </c>
    </row>
    <row r="21" spans="1:33" x14ac:dyDescent="0.55000000000000004">
      <c r="A21" s="78" t="s">
        <v>165</v>
      </c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>
        <v>0</v>
      </c>
      <c r="M21" s="242">
        <v>0</v>
      </c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>
        <v>0</v>
      </c>
      <c r="AD21" s="242">
        <v>0</v>
      </c>
      <c r="AE21" s="242"/>
      <c r="AF21" s="242">
        <v>212748.69149851578</v>
      </c>
      <c r="AG21" s="242">
        <v>212748.69149851578</v>
      </c>
    </row>
    <row r="22" spans="1:33" x14ac:dyDescent="0.55000000000000004">
      <c r="A22" s="79">
        <v>2019</v>
      </c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>
        <v>0</v>
      </c>
      <c r="M22" s="242">
        <v>0</v>
      </c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>
        <v>0</v>
      </c>
      <c r="AD22" s="242">
        <v>0</v>
      </c>
      <c r="AE22" s="242"/>
      <c r="AF22" s="242">
        <v>212748.69149851578</v>
      </c>
      <c r="AG22" s="242">
        <v>212748.69149851578</v>
      </c>
    </row>
    <row r="23" spans="1:33" x14ac:dyDescent="0.55000000000000004">
      <c r="A23" s="79">
        <v>2030</v>
      </c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>
        <v>0</v>
      </c>
      <c r="M23" s="242">
        <v>0</v>
      </c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>
        <v>0</v>
      </c>
      <c r="AD23" s="242">
        <v>0</v>
      </c>
      <c r="AE23" s="242"/>
      <c r="AF23" s="242">
        <v>0</v>
      </c>
      <c r="AG23" s="242">
        <v>0</v>
      </c>
    </row>
    <row r="24" spans="1:33" x14ac:dyDescent="0.55000000000000004">
      <c r="A24" s="79">
        <v>2050</v>
      </c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>
        <v>0</v>
      </c>
      <c r="M24" s="242">
        <v>0</v>
      </c>
      <c r="N24" s="242"/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>
        <v>0</v>
      </c>
      <c r="AD24" s="242">
        <v>0</v>
      </c>
      <c r="AE24" s="242"/>
      <c r="AF24" s="242">
        <v>0</v>
      </c>
      <c r="AG24" s="242">
        <v>0</v>
      </c>
    </row>
    <row r="25" spans="1:33" x14ac:dyDescent="0.55000000000000004">
      <c r="A25" s="78" t="s">
        <v>115</v>
      </c>
      <c r="B25" s="242"/>
      <c r="C25" s="242"/>
      <c r="D25" s="242">
        <v>1990903.880093025</v>
      </c>
      <c r="E25" s="242"/>
      <c r="F25" s="242">
        <v>10321.582739779382</v>
      </c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>
        <v>10803873.803965537</v>
      </c>
      <c r="S25" s="242"/>
      <c r="T25" s="242"/>
      <c r="U25" s="242"/>
      <c r="V25" s="242"/>
      <c r="W25" s="242"/>
      <c r="X25" s="242"/>
      <c r="Y25" s="242"/>
      <c r="Z25" s="242"/>
      <c r="AA25" s="242">
        <v>30619963.111542813</v>
      </c>
      <c r="AB25" s="242"/>
      <c r="AC25" s="242"/>
      <c r="AD25" s="242"/>
      <c r="AE25" s="242"/>
      <c r="AF25" s="242"/>
      <c r="AG25" s="242">
        <v>43425062.378341153</v>
      </c>
    </row>
    <row r="26" spans="1:33" x14ac:dyDescent="0.55000000000000004">
      <c r="A26" s="79">
        <v>2019</v>
      </c>
      <c r="B26" s="242"/>
      <c r="C26" s="242"/>
      <c r="D26" s="242">
        <v>823764.99285714305</v>
      </c>
      <c r="E26" s="242"/>
      <c r="F26" s="242">
        <v>3362.8500000000004</v>
      </c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>
        <v>6423924.8458333323</v>
      </c>
      <c r="S26" s="242"/>
      <c r="T26" s="242"/>
      <c r="U26" s="242"/>
      <c r="V26" s="242"/>
      <c r="W26" s="242"/>
      <c r="X26" s="242"/>
      <c r="Y26" s="242"/>
      <c r="Z26" s="242"/>
      <c r="AA26" s="242">
        <v>14742130.666666664</v>
      </c>
      <c r="AB26" s="242"/>
      <c r="AC26" s="242"/>
      <c r="AD26" s="242"/>
      <c r="AE26" s="242"/>
      <c r="AF26" s="242"/>
      <c r="AG26" s="242">
        <v>21993183.35535714</v>
      </c>
    </row>
    <row r="27" spans="1:33" x14ac:dyDescent="0.55000000000000004">
      <c r="A27" s="79">
        <v>2030</v>
      </c>
      <c r="B27" s="242"/>
      <c r="C27" s="242"/>
      <c r="D27" s="242">
        <v>569935.67566680163</v>
      </c>
      <c r="E27" s="242"/>
      <c r="F27" s="242">
        <v>3423.3941944072276</v>
      </c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>
        <v>2211099.4555563163</v>
      </c>
      <c r="S27" s="242"/>
      <c r="T27" s="242"/>
      <c r="U27" s="242"/>
      <c r="V27" s="242"/>
      <c r="W27" s="242"/>
      <c r="X27" s="242"/>
      <c r="Y27" s="242"/>
      <c r="Z27" s="242"/>
      <c r="AA27" s="242">
        <v>8111792.5165442396</v>
      </c>
      <c r="AB27" s="242"/>
      <c r="AC27" s="242"/>
      <c r="AD27" s="242"/>
      <c r="AE27" s="242"/>
      <c r="AF27" s="242"/>
      <c r="AG27" s="242">
        <v>10896251.041961765</v>
      </c>
    </row>
    <row r="28" spans="1:33" x14ac:dyDescent="0.55000000000000004">
      <c r="A28" s="79">
        <v>2050</v>
      </c>
      <c r="B28" s="242"/>
      <c r="C28" s="242"/>
      <c r="D28" s="242">
        <v>597203.21156908036</v>
      </c>
      <c r="E28" s="242"/>
      <c r="F28" s="242">
        <v>3535.3385453721544</v>
      </c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>
        <v>2168849.5025758878</v>
      </c>
      <c r="S28" s="242"/>
      <c r="T28" s="242"/>
      <c r="U28" s="242"/>
      <c r="V28" s="242"/>
      <c r="W28" s="242"/>
      <c r="X28" s="242"/>
      <c r="Y28" s="242"/>
      <c r="Z28" s="242"/>
      <c r="AA28" s="242">
        <v>7766039.9283319106</v>
      </c>
      <c r="AB28" s="242"/>
      <c r="AC28" s="242"/>
      <c r="AD28" s="242"/>
      <c r="AE28" s="242"/>
      <c r="AF28" s="242"/>
      <c r="AG28" s="242">
        <v>10535627.98102225</v>
      </c>
    </row>
    <row r="29" spans="1:33" x14ac:dyDescent="0.55000000000000004">
      <c r="A29" s="78" t="s">
        <v>240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>
        <v>2078809.4493015073</v>
      </c>
      <c r="X29" s="242"/>
      <c r="Y29" s="242"/>
      <c r="Z29" s="242"/>
      <c r="AA29" s="242"/>
      <c r="AB29" s="242"/>
      <c r="AC29" s="242"/>
      <c r="AD29" s="242"/>
      <c r="AE29" s="242"/>
      <c r="AF29" s="242"/>
      <c r="AG29" s="242">
        <v>2078809.4493015073</v>
      </c>
    </row>
    <row r="30" spans="1:33" x14ac:dyDescent="0.55000000000000004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>
        <v>678407.81727843033</v>
      </c>
      <c r="X30" s="242"/>
      <c r="Y30" s="242"/>
      <c r="Z30" s="242"/>
      <c r="AA30" s="242"/>
      <c r="AB30" s="242"/>
      <c r="AC30" s="242"/>
      <c r="AD30" s="242"/>
      <c r="AE30" s="242"/>
      <c r="AF30" s="242"/>
      <c r="AG30" s="242">
        <v>678407.81727843033</v>
      </c>
    </row>
    <row r="31" spans="1:33" x14ac:dyDescent="0.55000000000000004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>
        <v>712198.49644007557</v>
      </c>
      <c r="X31" s="242"/>
      <c r="Y31" s="242"/>
      <c r="Z31" s="242"/>
      <c r="AA31" s="242"/>
      <c r="AB31" s="242"/>
      <c r="AC31" s="242"/>
      <c r="AD31" s="242"/>
      <c r="AE31" s="242"/>
      <c r="AF31" s="242"/>
      <c r="AG31" s="242">
        <v>712198.49644007557</v>
      </c>
    </row>
    <row r="32" spans="1:33" x14ac:dyDescent="0.55000000000000004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>
        <v>688203.13558300154</v>
      </c>
      <c r="X32" s="242"/>
      <c r="Y32" s="242"/>
      <c r="Z32" s="242"/>
      <c r="AA32" s="242"/>
      <c r="AB32" s="242"/>
      <c r="AC32" s="242"/>
      <c r="AD32" s="242"/>
      <c r="AE32" s="242"/>
      <c r="AF32" s="242"/>
      <c r="AG32" s="242">
        <v>688203.13558300154</v>
      </c>
    </row>
    <row r="33" spans="1:33" x14ac:dyDescent="0.55000000000000004">
      <c r="A33" s="78" t="s">
        <v>61</v>
      </c>
      <c r="B33" s="242">
        <v>182574.19618217932</v>
      </c>
      <c r="C33" s="242">
        <v>217245.27668679622</v>
      </c>
      <c r="D33" s="242">
        <v>5830999.2614708273</v>
      </c>
      <c r="E33" s="242">
        <v>281468.55244752642</v>
      </c>
      <c r="F33" s="242">
        <v>23953.861830054037</v>
      </c>
      <c r="G33" s="242">
        <v>197788.71253069426</v>
      </c>
      <c r="H33" s="242">
        <v>1445379.0531089196</v>
      </c>
      <c r="I33" s="242">
        <v>428226</v>
      </c>
      <c r="J33" s="242">
        <v>41476304.95581004</v>
      </c>
      <c r="K33" s="242">
        <v>1513844.376677237</v>
      </c>
      <c r="L33" s="242">
        <v>8228843.7855980285</v>
      </c>
      <c r="M33" s="242">
        <v>2948427</v>
      </c>
      <c r="N33" s="242">
        <v>16263222.796414331</v>
      </c>
      <c r="O33" s="242">
        <v>2444654</v>
      </c>
      <c r="P33" s="242">
        <v>692260.49385742994</v>
      </c>
      <c r="Q33" s="242">
        <v>21472250.711091511</v>
      </c>
      <c r="R33" s="242">
        <v>36092988.553528279</v>
      </c>
      <c r="S33" s="242">
        <v>5105264.0021397118</v>
      </c>
      <c r="T33" s="242">
        <v>20044299.142737754</v>
      </c>
      <c r="U33" s="242">
        <v>2647325.8446415998</v>
      </c>
      <c r="V33" s="242">
        <v>336392.95646566537</v>
      </c>
      <c r="W33" s="242">
        <v>2078809.4493015073</v>
      </c>
      <c r="X33" s="242">
        <v>2919175.4834569679</v>
      </c>
      <c r="Y33" s="242">
        <v>132761.00241970882</v>
      </c>
      <c r="Z33" s="242">
        <v>8334841.759060693</v>
      </c>
      <c r="AA33" s="242">
        <v>51439622.223140746</v>
      </c>
      <c r="AB33" s="242">
        <v>682979.63888483576</v>
      </c>
      <c r="AC33" s="242">
        <v>636963.68412800436</v>
      </c>
      <c r="AD33" s="242">
        <v>8445237.9421698824</v>
      </c>
      <c r="AE33" s="242">
        <v>721133.62677978189</v>
      </c>
      <c r="AF33" s="242">
        <v>665219.02377648244</v>
      </c>
      <c r="AG33" s="242">
        <v>243930457.36633718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11.68359375" bestFit="1" customWidth="1"/>
    <col min="4" max="4" width="7.7890625" bestFit="1" customWidth="1"/>
    <col min="5" max="5" width="7.41796875" bestFit="1" customWidth="1"/>
    <col min="6" max="6" width="7.734375" bestFit="1" customWidth="1"/>
    <col min="7" max="7" width="13.15625" bestFit="1" customWidth="1"/>
    <col min="8" max="8" width="10.20703125" bestFit="1" customWidth="1"/>
    <col min="9" max="9" width="13.15625" bestFit="1" customWidth="1"/>
    <col min="10" max="10" width="10.20703125" bestFit="1" customWidth="1"/>
    <col min="11" max="11" width="9.26171875" bestFit="1" customWidth="1"/>
    <col min="12" max="13" width="11.578125" bestFit="1" customWidth="1"/>
    <col min="14" max="14" width="5.26171875" bestFit="1" customWidth="1"/>
    <col min="15" max="15" width="13.26171875" bestFit="1" customWidth="1"/>
    <col min="16" max="16" width="13.83984375" bestFit="1" customWidth="1"/>
    <col min="17" max="17" width="5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8" x14ac:dyDescent="0.55000000000000004">
      <c r="A2" s="77" t="s">
        <v>290</v>
      </c>
      <c r="B2" s="78">
        <v>1</v>
      </c>
    </row>
    <row r="4" spans="1:8" x14ac:dyDescent="0.55000000000000004">
      <c r="A4" s="77" t="s">
        <v>319</v>
      </c>
      <c r="B4" s="77" t="s">
        <v>62</v>
      </c>
    </row>
    <row r="5" spans="1:8" x14ac:dyDescent="0.55000000000000004">
      <c r="A5" s="77" t="s">
        <v>60</v>
      </c>
      <c r="B5" s="171" t="s">
        <v>6</v>
      </c>
      <c r="C5" s="171" t="s">
        <v>104</v>
      </c>
      <c r="D5" s="171" t="s">
        <v>14</v>
      </c>
      <c r="E5" s="171" t="s">
        <v>159</v>
      </c>
      <c r="F5" s="171" t="s">
        <v>54</v>
      </c>
      <c r="G5" s="171" t="s">
        <v>160</v>
      </c>
      <c r="H5" s="171" t="s">
        <v>61</v>
      </c>
    </row>
    <row r="6" spans="1:8" x14ac:dyDescent="0.55000000000000004">
      <c r="A6" s="78">
        <v>2019</v>
      </c>
      <c r="B6" s="76">
        <v>203649.62100550608</v>
      </c>
      <c r="C6" s="76">
        <v>282332.03034110228</v>
      </c>
      <c r="D6" s="76">
        <v>0</v>
      </c>
      <c r="E6" s="76">
        <v>142742</v>
      </c>
      <c r="F6" s="76">
        <v>420629.98984142789</v>
      </c>
      <c r="G6" s="76">
        <v>5421074.2654714445</v>
      </c>
      <c r="H6" s="76">
        <v>6470427.9066594811</v>
      </c>
    </row>
    <row r="7" spans="1:8" x14ac:dyDescent="0.55000000000000004">
      <c r="A7" s="78">
        <v>2030</v>
      </c>
      <c r="B7" s="76">
        <v>210965.35838487741</v>
      </c>
      <c r="C7" s="76">
        <v>0</v>
      </c>
      <c r="D7" s="76">
        <v>0</v>
      </c>
      <c r="E7" s="76">
        <v>142742</v>
      </c>
      <c r="F7" s="76">
        <v>437443.77822737186</v>
      </c>
      <c r="G7" s="76">
        <v>5421074.2654714435</v>
      </c>
      <c r="H7" s="76">
        <v>6212225.4020836931</v>
      </c>
    </row>
    <row r="8" spans="1:8" x14ac:dyDescent="0.55000000000000004">
      <c r="A8" s="78">
        <v>2050</v>
      </c>
      <c r="B8" s="76">
        <v>241953.74133540038</v>
      </c>
      <c r="C8" s="76">
        <v>0.11492812394862995</v>
      </c>
      <c r="D8" s="76">
        <v>6687.6021110492293</v>
      </c>
      <c r="E8" s="76">
        <v>142742</v>
      </c>
      <c r="F8" s="76">
        <v>459349.41813660081</v>
      </c>
      <c r="G8" s="76">
        <v>5421074.2654714435</v>
      </c>
      <c r="H8" s="76">
        <v>6271807.1419826178</v>
      </c>
    </row>
    <row r="9" spans="1:8" x14ac:dyDescent="0.55000000000000004">
      <c r="A9" s="78" t="s">
        <v>61</v>
      </c>
      <c r="B9" s="76">
        <v>656568.72072578385</v>
      </c>
      <c r="C9" s="76">
        <v>282332.14526922622</v>
      </c>
      <c r="D9" s="76">
        <v>6687.6021110492293</v>
      </c>
      <c r="E9" s="76">
        <v>428226</v>
      </c>
      <c r="F9" s="76">
        <v>1317423.1862054006</v>
      </c>
      <c r="G9" s="76">
        <v>16263222.796414331</v>
      </c>
      <c r="H9" s="76">
        <v>18954460.450725794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71" bestFit="1" customWidth="1"/>
    <col min="2" max="2" width="14.83984375" style="171" bestFit="1" customWidth="1"/>
    <col min="3" max="3" width="8.1015625" style="171" bestFit="1" customWidth="1"/>
    <col min="4" max="4" width="10.3671875" style="171" bestFit="1" customWidth="1"/>
    <col min="5" max="5" width="10" style="171" bestFit="1" customWidth="1"/>
    <col min="6" max="6" width="8.7890625" style="171" bestFit="1" customWidth="1"/>
    <col min="7" max="7" width="9.734375" style="171" bestFit="1" customWidth="1"/>
    <col min="8" max="8" width="11.68359375" style="171" bestFit="1" customWidth="1"/>
    <col min="9" max="10" width="8.7890625" style="171" bestFit="1" customWidth="1"/>
    <col min="11" max="11" width="12.20703125" style="171" bestFit="1" customWidth="1"/>
    <col min="12" max="12" width="8.7890625" style="171" bestFit="1" customWidth="1"/>
    <col min="13" max="13" width="14.3125" style="171" bestFit="1" customWidth="1"/>
    <col min="14" max="14" width="8.89453125" style="171" bestFit="1" customWidth="1"/>
    <col min="15" max="15" width="7.7890625" style="171" bestFit="1" customWidth="1"/>
    <col min="16" max="16" width="9.734375" style="171" bestFit="1" customWidth="1"/>
    <col min="17" max="17" width="8.7890625" style="171" bestFit="1" customWidth="1"/>
    <col min="18" max="18" width="18.7890625" style="171" bestFit="1" customWidth="1"/>
    <col min="19" max="19" width="18.47265625" style="171" bestFit="1" customWidth="1"/>
    <col min="20" max="20" width="8.7890625" style="171" bestFit="1" customWidth="1"/>
    <col min="21" max="21" width="6.26171875" style="171" bestFit="1" customWidth="1"/>
    <col min="22" max="22" width="12.3125" style="171" bestFit="1" customWidth="1"/>
    <col min="23" max="23" width="9" style="171" bestFit="1" customWidth="1"/>
    <col min="24" max="24" width="10.734375" style="171" bestFit="1" customWidth="1"/>
    <col min="25" max="25" width="14.26171875" style="171" bestFit="1" customWidth="1"/>
    <col min="26" max="27" width="8.7890625" style="171" bestFit="1" customWidth="1"/>
    <col min="28" max="28" width="8.41796875" style="171" bestFit="1" customWidth="1"/>
    <col min="29" max="30" width="10.734375" style="171" bestFit="1" customWidth="1"/>
    <col min="31" max="32" width="10.15625" style="171" bestFit="1" customWidth="1"/>
    <col min="33" max="33" width="12.15625" style="171" bestFit="1" customWidth="1"/>
    <col min="34" max="34" width="8.83984375" style="171" bestFit="1" customWidth="1"/>
    <col min="35" max="35" width="15.41796875" style="171" bestFit="1" customWidth="1"/>
    <col min="36" max="36" width="16" style="171" bestFit="1" customWidth="1"/>
    <col min="37" max="37" width="8.83984375" style="171" bestFit="1" customWidth="1"/>
    <col min="38" max="38" width="12.578125" style="171" bestFit="1" customWidth="1"/>
    <col min="39" max="39" width="10.41796875" style="171" bestFit="1" customWidth="1"/>
    <col min="40" max="40" width="12.26171875" style="171" bestFit="1" customWidth="1"/>
    <col min="41" max="41" width="14.578125" style="171" bestFit="1" customWidth="1"/>
    <col min="42" max="43" width="9.83984375" style="171" bestFit="1" customWidth="1"/>
    <col min="44" max="44" width="14" style="171" bestFit="1" customWidth="1"/>
    <col min="45" max="45" width="6.68359375" style="171" bestFit="1" customWidth="1"/>
    <col min="46" max="46" width="9.26171875" style="171" bestFit="1" customWidth="1"/>
    <col min="47" max="47" width="8.578125" style="171" bestFit="1" customWidth="1"/>
    <col min="48" max="48" width="12" style="171" bestFit="1" customWidth="1"/>
    <col min="49" max="49" width="12.26171875" style="171" bestFit="1" customWidth="1"/>
    <col min="50" max="50" width="13.26171875" style="171" bestFit="1" customWidth="1"/>
    <col min="51" max="51" width="13.41796875" style="171" bestFit="1" customWidth="1"/>
    <col min="52" max="52" width="20.83984375" style="171" bestFit="1" customWidth="1"/>
    <col min="53" max="54" width="12.26171875" style="171" bestFit="1" customWidth="1"/>
    <col min="55" max="55" width="13.26171875" style="171" bestFit="1" customWidth="1"/>
    <col min="56" max="59" width="12.26171875" style="171" bestFit="1" customWidth="1"/>
    <col min="60" max="60" width="13.26171875" style="171" bestFit="1" customWidth="1"/>
    <col min="61" max="61" width="13.41796875" style="171" bestFit="1" customWidth="1"/>
    <col min="62" max="62" width="20.83984375" style="171" bestFit="1" customWidth="1"/>
    <col min="63" max="64" width="12.26171875" style="171" bestFit="1" customWidth="1"/>
    <col min="65" max="65" width="13.26171875" style="171" bestFit="1" customWidth="1"/>
    <col min="66" max="66" width="13.41796875" style="171" bestFit="1" customWidth="1"/>
    <col min="67" max="67" width="20.83984375" style="171" bestFit="1" customWidth="1"/>
    <col min="68" max="69" width="11.26171875" style="171" bestFit="1" customWidth="1"/>
    <col min="70" max="70" width="13.26171875" style="171" bestFit="1" customWidth="1"/>
    <col min="71" max="71" width="13.41796875" style="171" bestFit="1" customWidth="1"/>
    <col min="72" max="72" width="12.26171875" style="171" bestFit="1" customWidth="1"/>
    <col min="73" max="73" width="16.83984375" style="171" bestFit="1" customWidth="1"/>
    <col min="74" max="74" width="12.26171875" style="171" bestFit="1" customWidth="1"/>
    <col min="75" max="75" width="13.26171875" style="171" bestFit="1" customWidth="1"/>
    <col min="76" max="76" width="13.41796875" style="171" bestFit="1" customWidth="1"/>
    <col min="77" max="77" width="12.26171875" style="171" bestFit="1" customWidth="1"/>
    <col min="78" max="78" width="16.83984375" style="171" bestFit="1" customWidth="1"/>
    <col min="79" max="79" width="12.26171875" style="171" bestFit="1" customWidth="1"/>
    <col min="80" max="80" width="13.26171875" style="171" bestFit="1" customWidth="1"/>
    <col min="81" max="81" width="13.41796875" style="171" bestFit="1" customWidth="1"/>
    <col min="82" max="82" width="12.26171875" style="171" bestFit="1" customWidth="1"/>
    <col min="83" max="83" width="15.83984375" style="171" bestFit="1" customWidth="1"/>
    <col min="84" max="84" width="12.26171875" style="171" bestFit="1" customWidth="1"/>
    <col min="85" max="85" width="13.26171875" style="171" bestFit="1" customWidth="1"/>
    <col min="86" max="89" width="11.68359375" style="171" bestFit="1" customWidth="1"/>
    <col min="90" max="90" width="14.26171875" style="171" bestFit="1" customWidth="1"/>
    <col min="91" max="91" width="13.41796875" style="171" bestFit="1" customWidth="1"/>
    <col min="92" max="92" width="20.83984375" style="171" bestFit="1" customWidth="1"/>
    <col min="93" max="94" width="11.68359375" style="171" bestFit="1" customWidth="1"/>
    <col min="95" max="95" width="14.26171875" style="171" bestFit="1" customWidth="1"/>
    <col min="96" max="96" width="13.41796875" style="171" bestFit="1" customWidth="1"/>
    <col min="97" max="97" width="20.83984375" style="171" bestFit="1" customWidth="1"/>
    <col min="98" max="99" width="12.26171875" style="171" bestFit="1" customWidth="1"/>
    <col min="100" max="100" width="14.26171875" style="171" bestFit="1" customWidth="1"/>
    <col min="101" max="101" width="12.26171875" style="171" bestFit="1" customWidth="1"/>
    <col min="102" max="103" width="13.26171875" style="171" bestFit="1" customWidth="1"/>
    <col min="104" max="104" width="13.41796875" style="171" bestFit="1" customWidth="1"/>
    <col min="105" max="105" width="20.83984375" style="171" bestFit="1" customWidth="1"/>
    <col min="106" max="107" width="12.26171875" style="171" bestFit="1" customWidth="1"/>
    <col min="108" max="109" width="13.26171875" style="171" bestFit="1" customWidth="1"/>
    <col min="110" max="113" width="11.68359375" style="171" bestFit="1" customWidth="1"/>
    <col min="114" max="115" width="13.26171875" style="171" bestFit="1" customWidth="1"/>
    <col min="116" max="116" width="13.41796875" style="171" bestFit="1" customWidth="1"/>
    <col min="117" max="117" width="20.83984375" style="171" bestFit="1" customWidth="1"/>
    <col min="118" max="120" width="11.68359375" style="171" bestFit="1" customWidth="1"/>
    <col min="121" max="121" width="13.26171875" style="171" bestFit="1" customWidth="1"/>
    <col min="122" max="122" width="13.41796875" style="171" bestFit="1" customWidth="1"/>
    <col min="123" max="123" width="12.26171875" style="171" bestFit="1" customWidth="1"/>
    <col min="124" max="124" width="15.83984375" style="171" bestFit="1" customWidth="1"/>
    <col min="125" max="125" width="12.26171875" style="171" bestFit="1" customWidth="1"/>
    <col min="126" max="127" width="13.26171875" style="171" bestFit="1" customWidth="1"/>
    <col min="128" max="128" width="13.41796875" style="171" bestFit="1" customWidth="1"/>
    <col min="129" max="129" width="20.83984375" style="171" bestFit="1" customWidth="1"/>
    <col min="130" max="131" width="11.26171875" style="171" bestFit="1" customWidth="1"/>
    <col min="132" max="133" width="13.26171875" style="171" bestFit="1" customWidth="1"/>
    <col min="134" max="134" width="13.41796875" style="171" bestFit="1" customWidth="1"/>
    <col min="135" max="135" width="20.83984375" style="171" bestFit="1" customWidth="1"/>
    <col min="136" max="137" width="12.26171875" style="171" bestFit="1" customWidth="1"/>
    <col min="138" max="139" width="13.26171875" style="171" bestFit="1" customWidth="1"/>
    <col min="140" max="143" width="12.26171875" style="171" bestFit="1" customWidth="1"/>
    <col min="144" max="145" width="13.26171875" style="171" bestFit="1" customWidth="1"/>
    <col min="146" max="146" width="13.41796875" style="171" bestFit="1" customWidth="1"/>
    <col min="147" max="147" width="12.26171875" style="171" bestFit="1" customWidth="1"/>
    <col min="148" max="148" width="16.83984375" style="171" bestFit="1" customWidth="1"/>
    <col min="149" max="149" width="12.26171875" style="171" bestFit="1" customWidth="1"/>
    <col min="150" max="151" width="13.26171875" style="171" bestFit="1" customWidth="1"/>
    <col min="152" max="152" width="13.41796875" style="171" bestFit="1" customWidth="1"/>
    <col min="153" max="153" width="12.26171875" style="171" bestFit="1" customWidth="1"/>
    <col min="154" max="154" width="16.83984375" style="171" bestFit="1" customWidth="1"/>
    <col min="155" max="155" width="12.26171875" style="171" bestFit="1" customWidth="1"/>
    <col min="156" max="157" width="13.26171875" style="171" bestFit="1" customWidth="1"/>
    <col min="158" max="158" width="13.41796875" style="171" bestFit="1" customWidth="1"/>
    <col min="159" max="159" width="20.83984375" style="171" bestFit="1" customWidth="1"/>
    <col min="160" max="161" width="12.26171875" style="171" bestFit="1" customWidth="1"/>
    <col min="162" max="163" width="14.26171875" style="171" bestFit="1" customWidth="1"/>
    <col min="164" max="164" width="13.41796875" style="171" bestFit="1" customWidth="1"/>
    <col min="165" max="165" width="20.83984375" style="171" bestFit="1" customWidth="1"/>
    <col min="166" max="167" width="11.68359375" style="171" bestFit="1" customWidth="1"/>
    <col min="168" max="169" width="14.26171875" style="171" bestFit="1" customWidth="1"/>
    <col min="170" max="173" width="11.68359375" style="171" bestFit="1" customWidth="1"/>
    <col min="174" max="175" width="14.26171875" style="171" bestFit="1" customWidth="1"/>
    <col min="176" max="176" width="12.26171875" style="171" bestFit="1" customWidth="1"/>
    <col min="177" max="16384" width="9.15625" style="171"/>
  </cols>
  <sheetData>
    <row r="2" spans="1:48" x14ac:dyDescent="0.55000000000000004">
      <c r="A2" s="77" t="s">
        <v>313</v>
      </c>
      <c r="B2" s="78">
        <v>1</v>
      </c>
    </row>
    <row r="4" spans="1:48" x14ac:dyDescent="0.55000000000000004">
      <c r="A4" s="77" t="s">
        <v>260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71" t="s">
        <v>15</v>
      </c>
      <c r="C5" s="171" t="s">
        <v>49</v>
      </c>
      <c r="D5" s="171" t="s">
        <v>102</v>
      </c>
      <c r="E5" s="171" t="s">
        <v>97</v>
      </c>
      <c r="F5" s="171" t="s">
        <v>114</v>
      </c>
      <c r="G5" s="171" t="s">
        <v>51</v>
      </c>
      <c r="H5" s="171" t="s">
        <v>104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241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212711.00975574681</v>
      </c>
      <c r="D6" s="98">
        <v>1352218.0071428574</v>
      </c>
      <c r="E6" s="98">
        <v>138275.28002889914</v>
      </c>
      <c r="F6" s="98">
        <v>1502558.0356082148</v>
      </c>
      <c r="G6" s="98">
        <v>4118003.7103001666</v>
      </c>
      <c r="H6" s="98"/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35496002.291692019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226255.77627432195</v>
      </c>
      <c r="D7" s="98">
        <v>935554.7883587121</v>
      </c>
      <c r="E7" s="98">
        <v>131018.05015567706</v>
      </c>
      <c r="F7" s="98">
        <v>1570157.2016349281</v>
      </c>
      <c r="G7" s="98">
        <v>4828921.2485613981</v>
      </c>
      <c r="H7" s="98">
        <v>0.40288562423666008</v>
      </c>
      <c r="I7" s="98">
        <v>2134206.5118205468</v>
      </c>
      <c r="J7" s="98">
        <v>2423533.1724211206</v>
      </c>
      <c r="K7" s="98">
        <v>34449.731880352119</v>
      </c>
      <c r="L7" s="98">
        <v>1690869.0750561175</v>
      </c>
      <c r="M7" s="98">
        <v>2468531.1111667752</v>
      </c>
      <c r="N7" s="98">
        <v>148232.6739623498</v>
      </c>
      <c r="O7" s="98">
        <v>1709.9716434609509</v>
      </c>
      <c r="P7" s="98">
        <v>5216592.6341052745</v>
      </c>
      <c r="Q7" s="98">
        <v>1803779.2618535154</v>
      </c>
      <c r="R7" s="98">
        <v>213658.900448664</v>
      </c>
      <c r="S7" s="98">
        <v>103730.08649485061</v>
      </c>
      <c r="T7" s="98">
        <v>1350281.1539118693</v>
      </c>
      <c r="U7" s="98">
        <v>14400</v>
      </c>
      <c r="V7" s="98">
        <v>783291.25515859458</v>
      </c>
      <c r="W7" s="98">
        <v>1126409.156604161</v>
      </c>
      <c r="X7" s="98">
        <v>1098.0698359419412</v>
      </c>
      <c r="Y7" s="98">
        <v>4542635.2873380352</v>
      </c>
      <c r="Z7" s="98">
        <v>954977.96501922607</v>
      </c>
      <c r="AA7" s="98">
        <v>2101303.8465657956</v>
      </c>
      <c r="AB7" s="98">
        <v>115721.37262677713</v>
      </c>
      <c r="AC7" s="98">
        <v>35092265.010397248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215894.74074247692</v>
      </c>
      <c r="D8" s="98">
        <v>980314.70578320744</v>
      </c>
      <c r="E8" s="98">
        <v>119570.06432731522</v>
      </c>
      <c r="F8" s="98">
        <v>1522723.6559768345</v>
      </c>
      <c r="G8" s="98">
        <v>4438214.8515691292</v>
      </c>
      <c r="H8" s="98"/>
      <c r="I8" s="98">
        <v>2041999.0273120813</v>
      </c>
      <c r="J8" s="98">
        <v>2125486.6888101231</v>
      </c>
      <c r="K8" s="98">
        <v>2199.2700615431677</v>
      </c>
      <c r="L8" s="98">
        <v>1488865.2333387681</v>
      </c>
      <c r="M8" s="98">
        <v>2368708.1871831375</v>
      </c>
      <c r="N8" s="98">
        <v>243411.82603765032</v>
      </c>
      <c r="O8" s="98"/>
      <c r="P8" s="98">
        <v>5119693.0284815514</v>
      </c>
      <c r="Q8" s="98">
        <v>1730280.0978252576</v>
      </c>
      <c r="R8" s="98">
        <v>207462.14120035616</v>
      </c>
      <c r="S8" s="98">
        <v>99632.354577237478</v>
      </c>
      <c r="T8" s="98">
        <v>1297233.4809750344</v>
      </c>
      <c r="U8" s="98">
        <v>18000</v>
      </c>
      <c r="V8" s="98">
        <v>712825.86568798381</v>
      </c>
      <c r="W8" s="98">
        <v>1104885.5956518676</v>
      </c>
      <c r="X8" s="98">
        <v>1133.9765145533327</v>
      </c>
      <c r="Y8" s="98">
        <v>4731436.1314918958</v>
      </c>
      <c r="Z8" s="98">
        <v>922616.4144434646</v>
      </c>
      <c r="AA8" s="98">
        <v>2030965.6070747143</v>
      </c>
      <c r="AB8" s="98">
        <v>103723.69219824017</v>
      </c>
      <c r="AC8" s="98">
        <v>33789594.004941694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654861.52677254565</v>
      </c>
      <c r="D9" s="98">
        <v>3268087.5012847767</v>
      </c>
      <c r="E9" s="98">
        <v>388863.39451189141</v>
      </c>
      <c r="F9" s="98">
        <v>4595438.8932199776</v>
      </c>
      <c r="G9" s="98">
        <v>13385139.810430694</v>
      </c>
      <c r="H9" s="98">
        <v>0.40288562423666008</v>
      </c>
      <c r="I9" s="98">
        <v>6217079.2899987623</v>
      </c>
      <c r="J9" s="98">
        <v>6523690.1905426625</v>
      </c>
      <c r="K9" s="98">
        <v>88541.13456199161</v>
      </c>
      <c r="L9" s="98">
        <v>4445996.5546623785</v>
      </c>
      <c r="M9" s="98">
        <v>7374022.539678853</v>
      </c>
      <c r="N9" s="98">
        <v>392524.60000000009</v>
      </c>
      <c r="O9" s="98">
        <v>9774.1779835575144</v>
      </c>
      <c r="P9" s="98">
        <v>15605285.662586827</v>
      </c>
      <c r="Q9" s="98">
        <v>5190424.0011796877</v>
      </c>
      <c r="R9" s="98">
        <v>638131.40908454335</v>
      </c>
      <c r="S9" s="98">
        <v>309308.7526440433</v>
      </c>
      <c r="T9" s="98">
        <v>4030166.0660658106</v>
      </c>
      <c r="U9" s="98">
        <v>32476.5</v>
      </c>
      <c r="V9" s="98">
        <v>2323810.3257687828</v>
      </c>
      <c r="W9" s="98">
        <v>5503860.23975603</v>
      </c>
      <c r="X9" s="98">
        <v>3310.6963504952737</v>
      </c>
      <c r="Y9" s="98">
        <v>13642395.32050859</v>
      </c>
      <c r="Z9" s="98">
        <v>2789169.0219477573</v>
      </c>
      <c r="AA9" s="98">
        <v>6137371.6250412865</v>
      </c>
      <c r="AB9" s="98">
        <v>318271.09787097183</v>
      </c>
      <c r="AC9" s="98">
        <v>104377861.30703098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7.578125" bestFit="1" customWidth="1"/>
    <col min="9" max="9" width="9" bestFit="1" customWidth="1"/>
    <col min="10" max="10" width="15.89453125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71" t="s">
        <v>233</v>
      </c>
      <c r="C4" s="171" t="s">
        <v>159</v>
      </c>
      <c r="D4" s="171" t="s">
        <v>227</v>
      </c>
      <c r="E4" s="171" t="s">
        <v>230</v>
      </c>
      <c r="F4" s="171" t="s">
        <v>229</v>
      </c>
      <c r="G4" s="171" t="s">
        <v>225</v>
      </c>
      <c r="H4" s="171" t="s">
        <v>234</v>
      </c>
      <c r="I4" s="171" t="s">
        <v>228</v>
      </c>
      <c r="J4" s="171" t="s">
        <v>326</v>
      </c>
      <c r="K4" s="171" t="s">
        <v>61</v>
      </c>
    </row>
    <row r="5" spans="1:11" x14ac:dyDescent="0.55000000000000004">
      <c r="A5" s="78" t="s">
        <v>297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55000000000000004">
      <c r="A6" s="79">
        <v>2019</v>
      </c>
      <c r="B6" s="240" t="e">
        <v>#REF!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0.15196335107036851</v>
      </c>
      <c r="I6" s="240">
        <v>47.489094924341849</v>
      </c>
      <c r="J6" s="240">
        <v>0</v>
      </c>
      <c r="K6" s="240" t="e">
        <v>#REF!</v>
      </c>
    </row>
    <row r="7" spans="1:11" x14ac:dyDescent="0.55000000000000004">
      <c r="A7" s="79">
        <v>2030</v>
      </c>
      <c r="B7" s="240" t="e">
        <v>#REF!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 t="e">
        <v>#REF!</v>
      </c>
    </row>
    <row r="8" spans="1:11" x14ac:dyDescent="0.55000000000000004">
      <c r="A8" s="79">
        <v>2050</v>
      </c>
      <c r="B8" s="240" t="e">
        <v>#REF!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 t="e">
        <v>#REF!</v>
      </c>
    </row>
    <row r="9" spans="1:11" x14ac:dyDescent="0.55000000000000004">
      <c r="A9" s="78" t="s">
        <v>248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55000000000000004">
      <c r="A10" s="79">
        <v>2019</v>
      </c>
      <c r="B10" s="240" t="e">
        <v>#REF!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 t="e">
        <v>#REF!</v>
      </c>
    </row>
    <row r="11" spans="1:11" x14ac:dyDescent="0.55000000000000004">
      <c r="A11" s="79">
        <v>2030</v>
      </c>
      <c r="B11" s="240" t="e">
        <v>#REF!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 t="e">
        <v>#REF!</v>
      </c>
    </row>
    <row r="12" spans="1:11" x14ac:dyDescent="0.55000000000000004">
      <c r="A12" s="79">
        <v>2050</v>
      </c>
      <c r="B12" s="240" t="e">
        <v>#REF!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 t="e">
        <v>#REF!</v>
      </c>
    </row>
    <row r="13" spans="1:11" x14ac:dyDescent="0.55000000000000004">
      <c r="A13" s="78" t="s">
        <v>298</v>
      </c>
      <c r="B13" s="240" t="e">
        <v>#REF!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15.836461629728831</v>
      </c>
      <c r="I13" s="240">
        <v>134.12176978623643</v>
      </c>
      <c r="J13" s="240">
        <v>0</v>
      </c>
      <c r="K13" s="240" t="e">
        <v>#REF!</v>
      </c>
    </row>
    <row r="14" spans="1:11" x14ac:dyDescent="0.55000000000000004">
      <c r="A14" s="78" t="s">
        <v>249</v>
      </c>
      <c r="B14" s="240" t="e">
        <v>#REF!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 t="e">
        <v>#REF!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J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8.47265625" bestFit="1" customWidth="1"/>
    <col min="9" max="9" width="10" bestFit="1" customWidth="1"/>
    <col min="10" max="10" width="10.20703125" bestFit="1" customWidth="1"/>
    <col min="11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10" x14ac:dyDescent="0.55000000000000004">
      <c r="A1" s="77" t="s">
        <v>242</v>
      </c>
      <c r="B1" s="77" t="s">
        <v>62</v>
      </c>
    </row>
    <row r="2" spans="1:10" x14ac:dyDescent="0.55000000000000004">
      <c r="A2" s="77" t="s">
        <v>60</v>
      </c>
      <c r="B2" s="171" t="s">
        <v>233</v>
      </c>
      <c r="C2" s="171" t="s">
        <v>159</v>
      </c>
      <c r="D2" s="171" t="s">
        <v>227</v>
      </c>
      <c r="E2" s="171" t="s">
        <v>230</v>
      </c>
      <c r="F2" s="171" t="s">
        <v>229</v>
      </c>
      <c r="G2" s="171" t="s">
        <v>225</v>
      </c>
      <c r="H2" s="171" t="s">
        <v>234</v>
      </c>
      <c r="I2" s="171" t="s">
        <v>228</v>
      </c>
      <c r="J2" s="171" t="s">
        <v>61</v>
      </c>
    </row>
    <row r="3" spans="1:10" x14ac:dyDescent="0.55000000000000004">
      <c r="A3" s="78">
        <v>2019</v>
      </c>
      <c r="B3" s="241" t="e">
        <v>#REF!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3951.0471278295822</v>
      </c>
      <c r="I3" s="241">
        <v>1575873.4784311759</v>
      </c>
      <c r="J3" s="241" t="e">
        <v>#REF!</v>
      </c>
    </row>
    <row r="4" spans="1:10" x14ac:dyDescent="0.55000000000000004">
      <c r="A4" s="78">
        <v>2030</v>
      </c>
      <c r="B4" s="241" t="e">
        <v>#REF!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207392.20216335001</v>
      </c>
      <c r="I4" s="241">
        <v>1498974.2460576054</v>
      </c>
      <c r="J4" s="241" t="e">
        <v>#REF!</v>
      </c>
    </row>
    <row r="5" spans="1:10" x14ac:dyDescent="0.55000000000000004">
      <c r="A5" s="78">
        <v>2050</v>
      </c>
      <c r="B5" s="241" t="e">
        <v>#REF!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2077438.0772637748</v>
      </c>
      <c r="H5" s="241">
        <v>200404.75308177009</v>
      </c>
      <c r="I5" s="241">
        <v>1366366.1366558613</v>
      </c>
      <c r="J5" s="241" t="e">
        <v>#REF!</v>
      </c>
    </row>
    <row r="6" spans="1:10" x14ac:dyDescent="0.55000000000000004">
      <c r="A6" s="78" t="s">
        <v>61</v>
      </c>
      <c r="B6" s="241" t="e">
        <v>#REF!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4860322.9928768072</v>
      </c>
      <c r="H6" s="241">
        <v>411748.00237294968</v>
      </c>
      <c r="I6" s="241">
        <v>4441213.8611446423</v>
      </c>
      <c r="J6" s="241" t="e">
        <v>#REF!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6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0.20703125" bestFit="1" customWidth="1"/>
    <col min="10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9" x14ac:dyDescent="0.55000000000000004">
      <c r="A1" s="77" t="s">
        <v>200</v>
      </c>
      <c r="B1" s="77" t="s">
        <v>62</v>
      </c>
    </row>
    <row r="2" spans="1:9" x14ac:dyDescent="0.55000000000000004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269</v>
      </c>
      <c r="H2" s="171" t="s">
        <v>324</v>
      </c>
      <c r="I2" s="171" t="s">
        <v>61</v>
      </c>
    </row>
    <row r="3" spans="1:9" x14ac:dyDescent="0.55000000000000004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55000000000000004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55000000000000004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55000000000000004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55000000000000004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55000000000000004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55000000000000004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55000000000000004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55000000000000004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55000000000000004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55000000000000004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55000000000000004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269</v>
      </c>
      <c r="E9" s="171" t="s">
        <v>269</v>
      </c>
      <c r="G9" s="171" t="s">
        <v>269</v>
      </c>
    </row>
    <row r="10" spans="1:9" s="171" customFormat="1" x14ac:dyDescent="0.55000000000000004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324</v>
      </c>
      <c r="E10" s="171" t="s">
        <v>324</v>
      </c>
      <c r="G10" s="171" t="s">
        <v>324</v>
      </c>
    </row>
    <row r="11" spans="1:9" x14ac:dyDescent="0.55000000000000004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55000000000000004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55000000000000004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55000000000000004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55000000000000004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55000000000000004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55000000000000004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55000000000000004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55000000000000004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55000000000000004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55000000000000004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55000000000000004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55000000000000004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55000000000000004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55000000000000004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55000000000000004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55000000000000004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55000000000000004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55000000000000004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55000000000000004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55000000000000004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55000000000000004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55000000000000004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55000000000000004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55000000000000004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55000000000000004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55000000000000004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55000000000000004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55000000000000004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55000000000000004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55000000000000004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55000000000000004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55000000000000004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55000000000000004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55000000000000004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55000000000000004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55000000000000004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55000000000000004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55000000000000004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55000000000000004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55000000000000004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55000000000000004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55000000000000004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71" t="s">
        <v>81</v>
      </c>
    </row>
    <row r="3" spans="1:15" x14ac:dyDescent="0.55000000000000004">
      <c r="A3" s="77" t="s">
        <v>127</v>
      </c>
      <c r="B3" s="77" t="s">
        <v>62</v>
      </c>
    </row>
    <row r="4" spans="1:15" x14ac:dyDescent="0.55000000000000004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55000000000000004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55000000000000004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55000000000000004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55000000000000004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126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55000000000000004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55000000000000004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55000000000000004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55000000000000004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55000000000000004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55000000000000004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55000000000000004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55000000000000004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55000000000000004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55000000000000004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55000000000000004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55000000000000004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55000000000000004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55000000000000004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55000000000000004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55000000000000004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7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55000000000000004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55000000000000004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55000000000000004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55000000000000004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71" t="s">
        <v>81</v>
      </c>
    </row>
    <row r="3" spans="1:7" x14ac:dyDescent="0.55000000000000004">
      <c r="A3" s="77" t="s">
        <v>80</v>
      </c>
      <c r="B3" s="77" t="s">
        <v>62</v>
      </c>
    </row>
    <row r="4" spans="1:7" x14ac:dyDescent="0.55000000000000004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55000000000000004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55000000000000004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55000000000000004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55000000000000004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71" t="s">
        <v>81</v>
      </c>
    </row>
    <row r="2" spans="1:16" x14ac:dyDescent="0.55000000000000004">
      <c r="A2" s="77" t="s">
        <v>64</v>
      </c>
      <c r="B2" s="171" t="s">
        <v>81</v>
      </c>
    </row>
    <row r="4" spans="1:16" x14ac:dyDescent="0.55000000000000004">
      <c r="A4" s="77" t="s">
        <v>88</v>
      </c>
      <c r="B4" s="77" t="s">
        <v>62</v>
      </c>
    </row>
    <row r="5" spans="1:16" x14ac:dyDescent="0.55000000000000004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55000000000000004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55000000000000004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55000000000000004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55000000000000004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2021-09-09T11:07:50Z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323558986186981</vt:r8>
  </property>
</Properties>
</file>