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1D92CAB-92F6-403B-ABF2-9D4766807E91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39" l="1"/>
  <c r="E28" i="39" s="1"/>
  <c r="E27" i="39"/>
  <c r="D27" i="39"/>
  <c r="D26" i="39"/>
  <c r="E26" i="39" s="1"/>
  <c r="D25" i="39"/>
  <c r="E25" i="39" s="1"/>
  <c r="D24" i="39"/>
  <c r="E24" i="39" s="1"/>
  <c r="E23" i="39"/>
  <c r="D23" i="39"/>
  <c r="D22" i="39"/>
  <c r="E22" i="39" s="1"/>
  <c r="D21" i="39"/>
  <c r="E21" i="39" s="1"/>
  <c r="D20" i="39"/>
  <c r="E20" i="39" s="1"/>
  <c r="E19" i="39"/>
  <c r="D19" i="39"/>
  <c r="E18" i="39"/>
  <c r="D18" i="39"/>
  <c r="D8" i="39"/>
  <c r="C8" i="39"/>
  <c r="C5" i="39"/>
  <c r="D5" i="39" s="1"/>
  <c r="D7" i="32"/>
  <c r="E7" i="32" s="1"/>
  <c r="D6" i="32"/>
  <c r="E6" i="32" s="1"/>
  <c r="D5" i="32"/>
  <c r="E5" i="32" s="1"/>
  <c r="E4" i="32"/>
  <c r="D4" i="32"/>
  <c r="E51" i="17"/>
  <c r="D51" i="17"/>
  <c r="D45" i="17"/>
  <c r="E45" i="17" s="1"/>
  <c r="D44" i="17"/>
  <c r="E44" i="17" s="1"/>
  <c r="D43" i="17"/>
  <c r="E43" i="17" s="1"/>
  <c r="D42" i="17"/>
  <c r="E42" i="17" s="1"/>
  <c r="D41" i="17"/>
  <c r="E41" i="17" s="1"/>
  <c r="D40" i="17"/>
  <c r="E40" i="17" s="1"/>
  <c r="D39" i="17"/>
  <c r="E39" i="17" s="1"/>
  <c r="D38" i="17"/>
  <c r="E38" i="17" s="1"/>
  <c r="D37" i="17"/>
  <c r="E37" i="17" s="1"/>
  <c r="D36" i="17"/>
  <c r="E36" i="17" s="1"/>
  <c r="D35" i="17"/>
  <c r="E35" i="17" s="1"/>
  <c r="D34" i="17"/>
  <c r="E34" i="17" s="1"/>
  <c r="D33" i="17"/>
  <c r="E33" i="17" s="1"/>
  <c r="E32" i="17"/>
  <c r="D32" i="17"/>
  <c r="D18" i="17"/>
  <c r="E18" i="17" s="1"/>
  <c r="E17" i="17"/>
  <c r="D17" i="17"/>
  <c r="E16" i="17"/>
  <c r="D16" i="17"/>
  <c r="D8" i="17"/>
  <c r="E8" i="17" s="1"/>
  <c r="D7" i="17"/>
  <c r="E7" i="17" s="1"/>
  <c r="D6" i="17"/>
  <c r="E6" i="17" s="1"/>
  <c r="E5" i="17"/>
  <c r="D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A11" i="34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1" i="34" l="1"/>
  <c r="C10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189" i="72" l="1" a="1"/>
  <c r="D189" i="72" s="1"/>
  <c r="D190" i="72" s="1" a="1"/>
  <c r="D190" i="72" s="1"/>
  <c r="D191" i="72" s="1" a="1"/>
  <c r="D191" i="72" s="1"/>
  <c r="D188" i="72" a="1"/>
  <c r="D188" i="72" s="1"/>
  <c r="D3" i="72" a="1"/>
  <c r="D3" i="72" s="1"/>
  <c r="D4" i="72" s="1" a="1"/>
  <c r="D4" i="72" s="1"/>
  <c r="D5" i="72" s="1" a="1"/>
  <c r="D5" i="72" s="1"/>
  <c r="D2" i="72" a="1"/>
  <c r="D2" i="72" s="1"/>
  <c r="D126" i="72" a="1"/>
  <c r="D126" i="72" s="1"/>
  <c r="D250" i="72" a="1"/>
  <c r="D250" i="72" s="1"/>
  <c r="D251" i="72" s="1" a="1"/>
  <c r="D251" i="72" s="1"/>
  <c r="D64" i="72" a="1"/>
  <c r="D64" i="72" s="1"/>
  <c r="D65" i="72" s="1" a="1"/>
  <c r="D65" i="72" s="1"/>
  <c r="D66" i="72" s="1" a="1"/>
  <c r="D66" i="72" s="1"/>
  <c r="D67" i="72" s="1" a="1"/>
  <c r="D67" i="72" s="1"/>
  <c r="D127" i="72" a="1"/>
  <c r="D127" i="72" s="1"/>
  <c r="D33" i="72" a="1"/>
  <c r="D33" i="72" s="1"/>
  <c r="D34" i="72" s="1" a="1"/>
  <c r="D34" i="72" s="1"/>
  <c r="D35" i="72" s="1" a="1"/>
  <c r="D35" i="72" s="1"/>
  <c r="D157" i="72" a="1"/>
  <c r="D157" i="72" s="1"/>
  <c r="D158" i="72" s="1" a="1"/>
  <c r="D158" i="72" s="1"/>
  <c r="D219" i="72" a="1"/>
  <c r="D219" i="72" s="1"/>
  <c r="D281" i="72" a="1"/>
  <c r="D281" i="72" s="1"/>
  <c r="D95" i="72" a="1"/>
  <c r="D95" i="72" s="1"/>
  <c r="D282" i="72" a="1"/>
  <c r="D282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83" i="72" l="1" a="1"/>
  <c r="D283" i="72" s="1"/>
  <c r="D284" i="72" s="1" a="1"/>
  <c r="D284" i="72" s="1"/>
  <c r="D36" i="72" a="1"/>
  <c r="D36" i="72" s="1"/>
  <c r="D37" i="72" s="1" a="1"/>
  <c r="D37" i="72" s="1"/>
  <c r="D6" i="72" a="1"/>
  <c r="D6" i="72" s="1"/>
  <c r="D159" i="72" a="1"/>
  <c r="D159" i="72" s="1"/>
  <c r="D160" i="72" s="1" a="1"/>
  <c r="D160" i="72" s="1"/>
  <c r="D220" i="72" a="1"/>
  <c r="D220" i="72" s="1"/>
  <c r="D192" i="72" a="1"/>
  <c r="D192" i="72" s="1"/>
  <c r="D68" i="72" a="1"/>
  <c r="D68" i="72" s="1"/>
  <c r="D96" i="72" a="1"/>
  <c r="D96" i="72" s="1"/>
  <c r="D97" i="72" s="1" a="1"/>
  <c r="D97" i="72" s="1"/>
  <c r="D128" i="72" a="1"/>
  <c r="D128" i="72" s="1"/>
  <c r="D252" i="72" a="1"/>
  <c r="D252" i="72" s="1"/>
  <c r="D253" i="72" s="1" a="1"/>
  <c r="D253" i="72" s="1"/>
  <c r="D254" i="72" s="1" a="1"/>
  <c r="D254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5" i="72" l="1" a="1"/>
  <c r="D285" i="72" s="1"/>
  <c r="D286" i="72" s="1" a="1"/>
  <c r="D286" i="72" s="1"/>
  <c r="D287" i="72" s="1" a="1"/>
  <c r="D287" i="72" s="1"/>
  <c r="D38" i="72" a="1"/>
  <c r="D38" i="72" s="1"/>
  <c r="D39" i="72" s="1" a="1"/>
  <c r="D39" i="72" s="1"/>
  <c r="D7" i="72" a="1"/>
  <c r="D7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61" i="72" a="1"/>
  <c r="D161" i="72" s="1"/>
  <c r="D69" i="72" a="1"/>
  <c r="D69" i="72" s="1"/>
  <c r="D70" i="72" s="1" a="1"/>
  <c r="D70" i="72" s="1"/>
  <c r="D71" i="72" s="1" a="1"/>
  <c r="D71" i="72" s="1"/>
  <c r="D129" i="72" a="1"/>
  <c r="D129" i="72" s="1"/>
  <c r="D130" i="72" s="1" a="1"/>
  <c r="D130" i="72" s="1"/>
  <c r="D193" i="72" a="1"/>
  <c r="D193" i="72" s="1"/>
  <c r="D255" i="72" a="1"/>
  <c r="D255" i="72" s="1"/>
  <c r="D221" i="72" a="1"/>
  <c r="D221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88" i="72" l="1" a="1"/>
  <c r="D288" i="72" s="1"/>
  <c r="D289" i="72" s="1" a="1"/>
  <c r="D289" i="72" s="1"/>
  <c r="D8" i="72" a="1"/>
  <c r="D8" i="72" s="1"/>
  <c r="D40" i="72" a="1"/>
  <c r="D40" i="72" s="1"/>
  <c r="D41" i="72" s="1" a="1"/>
  <c r="D41" i="72" s="1"/>
  <c r="D42" i="72" s="1" a="1"/>
  <c r="D42" i="72" s="1"/>
  <c r="D256" i="72" a="1"/>
  <c r="D2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72" i="72" a="1"/>
  <c r="D72" i="72" s="1"/>
  <c r="D162" i="72" a="1"/>
  <c r="D162" i="72" s="1"/>
  <c r="D222" i="72" a="1"/>
  <c r="D222" i="72" s="1"/>
  <c r="D223" i="72" s="1" a="1"/>
  <c r="D223" i="72" s="1"/>
  <c r="D103" i="72" a="1"/>
  <c r="D103" i="72" s="1"/>
  <c r="D104" i="72" s="1" a="1"/>
  <c r="D104" i="72" s="1"/>
  <c r="D131" i="72" a="1"/>
  <c r="D131" i="72" s="1"/>
  <c r="D194" i="72" a="1"/>
  <c r="D194" i="72" s="1"/>
  <c r="Z5" i="20"/>
  <c r="P28" i="18"/>
  <c r="P26" i="18"/>
  <c r="Z3" i="20"/>
  <c r="Z4" i="20"/>
  <c r="C265" i="38"/>
  <c r="C268" i="38"/>
  <c r="A32" i="53"/>
  <c r="A36" i="53"/>
  <c r="C275" i="38"/>
  <c r="D290" i="72" l="1" a="1"/>
  <c r="D290" i="72" s="1"/>
  <c r="D291" i="72" s="1" a="1"/>
  <c r="D291" i="72" s="1"/>
  <c r="D292" i="72" s="1" a="1"/>
  <c r="D292" i="72" s="1"/>
  <c r="D43" i="72" a="1"/>
  <c r="D43" i="72" s="1"/>
  <c r="D44" i="72" s="1" a="1"/>
  <c r="D44" i="72" s="1"/>
  <c r="D9" i="72" a="1"/>
  <c r="D9" i="72" s="1"/>
  <c r="D10" i="72" s="1" a="1"/>
  <c r="D10" i="72" s="1"/>
  <c r="D11" i="72" s="1" a="1"/>
  <c r="D11" i="72" s="1"/>
  <c r="D224" i="72" a="1"/>
  <c r="D224" i="72" s="1"/>
  <c r="D262" i="72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3" i="72" a="1"/>
  <c r="D73" i="72" s="1"/>
  <c r="D163" i="72" a="1"/>
  <c r="D163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225" i="72" a="1"/>
  <c r="D225" i="72" s="1"/>
  <c r="D226" i="72" s="1" a="1"/>
  <c r="D226" i="72" s="1"/>
  <c r="D132" i="72" a="1"/>
  <c r="D132" i="72" s="1"/>
  <c r="L16" i="66"/>
  <c r="D10" i="53"/>
  <c r="D11" i="53"/>
  <c r="D34" i="53"/>
  <c r="D9" i="53"/>
  <c r="D23" i="53"/>
  <c r="D22" i="53"/>
  <c r="D35" i="53"/>
  <c r="D33" i="53"/>
  <c r="D21" i="53"/>
  <c r="D133" i="72" l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2" i="72" a="1"/>
  <c r="D12" i="72" s="1"/>
  <c r="D13" i="72" s="1" a="1"/>
  <c r="D13" i="72" s="1"/>
  <c r="D14" i="72" s="1" a="1"/>
  <c r="D14" i="72" s="1"/>
  <c r="D15" i="72" s="1" a="1"/>
  <c r="D15" i="72" s="1"/>
  <c r="D45" i="72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27" i="72" a="1"/>
  <c r="D227" i="72" s="1"/>
  <c r="D228" i="72" s="1" a="1"/>
  <c r="D228" i="72" s="1"/>
  <c r="D229" i="72" s="1" a="1"/>
  <c r="D229" i="72" s="1"/>
  <c r="D164" i="72" a="1"/>
  <c r="D16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6" i="72" l="1" a="1"/>
  <c r="D16" i="72" s="1"/>
  <c r="D17" i="72" s="1" a="1"/>
  <c r="D17" i="72" s="1"/>
  <c r="D18" i="72" s="1" a="1"/>
  <c r="D18" i="72" s="1"/>
  <c r="D19" i="72" s="1" a="1"/>
  <c r="D19" i="72" s="1"/>
  <c r="D230" i="72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20" i="72" l="1" a="1"/>
  <c r="D20" i="72" s="1"/>
  <c r="D21" i="72" s="1" a="1"/>
  <c r="D21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D22" i="72" l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U288" i="66"/>
  <c r="U192" i="66"/>
  <c r="U240" i="66"/>
  <c r="V144" i="66"/>
  <c r="X144" i="66" s="1"/>
  <c r="U144" i="66"/>
  <c r="V96" i="66"/>
  <c r="X96" i="66" s="1"/>
  <c r="U96" i="66"/>
  <c r="U48" i="66"/>
  <c r="D30" i="72" l="1" a="1"/>
  <c r="D30" i="72" s="1"/>
  <c r="D31" i="72" s="1" a="1"/>
  <c r="D31" i="72" s="1"/>
  <c r="D32" i="72" s="1" a="1"/>
  <c r="D32" i="72" s="1"/>
  <c r="E4" i="34"/>
  <c r="D5" i="34"/>
  <c r="D6" i="34"/>
  <c r="E6" i="34" s="1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3" i="41" l="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96" i="58"/>
  <c r="I97" i="58"/>
  <c r="I477" i="37"/>
  <c r="I126" i="58"/>
  <c r="I477" i="58" s="1"/>
  <c r="I96" i="58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110" i="58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F93" i="66"/>
  <c r="R191" i="66"/>
  <c r="P191" i="66"/>
  <c r="S191" i="66"/>
  <c r="F237" i="66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C3" i="63"/>
  <c r="H124" i="41"/>
  <c r="M5" i="41" s="1"/>
  <c r="J96" i="41"/>
  <c r="F141" i="66"/>
  <c r="H126" i="41"/>
  <c r="C14" i="39" s="1"/>
  <c r="C41" i="39"/>
  <c r="E88" i="38" s="1"/>
  <c r="F11" i="66"/>
  <c r="F9" i="66" l="1"/>
  <c r="F153" i="66"/>
  <c r="F201" i="66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F75" i="66"/>
  <c r="J438" i="58"/>
  <c r="F252" i="66" s="1"/>
  <c r="N252" i="66" s="1"/>
  <c r="J439" i="58"/>
  <c r="H121" i="58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C3" i="39" s="1"/>
  <c r="D3" i="39" s="1"/>
  <c r="I112" i="41"/>
  <c r="F85" i="66"/>
  <c r="N85" i="66" s="1"/>
  <c r="H109" i="41"/>
  <c r="H110" i="41"/>
  <c r="B4" i="39" s="1"/>
  <c r="F27" i="66"/>
  <c r="H438" i="58"/>
  <c r="F156" i="66" s="1"/>
  <c r="N156" i="66" s="1"/>
  <c r="H113" i="41"/>
  <c r="J110" i="4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475" i="37" l="1"/>
  <c r="J475" i="58"/>
  <c r="M39" i="39"/>
  <c r="E171" i="38" s="1"/>
  <c r="E39" i="39"/>
  <c r="E120" i="38" s="1"/>
  <c r="H476" i="58"/>
  <c r="C4" i="39"/>
  <c r="D13" i="39" s="1"/>
  <c r="E12" i="39"/>
  <c r="I475" i="37"/>
  <c r="I475" i="58"/>
  <c r="D39" i="39"/>
  <c r="E103" i="38" s="1"/>
  <c r="L39" i="39"/>
  <c r="E154" i="38" s="1"/>
  <c r="D12" i="39"/>
  <c r="H475" i="58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B7" i="39"/>
  <c r="H428" i="41"/>
  <c r="T175" i="66"/>
  <c r="J121" i="41"/>
  <c r="I428" i="41"/>
  <c r="J439" i="41"/>
  <c r="J436" i="41"/>
  <c r="F139" i="66"/>
  <c r="P59" i="66"/>
  <c r="S59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C13" i="39"/>
  <c r="E369" i="38"/>
  <c r="K171" i="66" s="1"/>
  <c r="R155" i="66"/>
  <c r="S155" i="66"/>
  <c r="P155" i="66"/>
  <c r="H121" i="41"/>
  <c r="F28" i="66"/>
  <c r="H429" i="41"/>
  <c r="J437" i="41"/>
  <c r="F138" i="66"/>
  <c r="N138" i="66" s="1"/>
  <c r="C40" i="39"/>
  <c r="E87" i="38" s="1"/>
  <c r="C39" i="39"/>
  <c r="E86" i="38" s="1"/>
  <c r="K39" i="39"/>
  <c r="E137" i="38" s="1"/>
  <c r="J435" i="41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H437" i="41"/>
  <c r="F42" i="66"/>
  <c r="N42" i="66" s="1"/>
  <c r="S107" i="66"/>
  <c r="P107" i="66"/>
  <c r="J427" i="41"/>
  <c r="F140" i="66"/>
  <c r="I435" i="41"/>
  <c r="F284" i="66"/>
  <c r="H478" i="37" l="1"/>
  <c r="C7" i="39"/>
  <c r="D4" i="39"/>
  <c r="I476" i="37"/>
  <c r="I476" i="58"/>
  <c r="L40" i="39"/>
  <c r="E155" i="38" s="1"/>
  <c r="D40" i="39"/>
  <c r="E104" i="38" s="1"/>
  <c r="J459" i="37"/>
  <c r="J459" i="41" s="1"/>
  <c r="J141" i="66"/>
  <c r="J459" i="58"/>
  <c r="J285" i="66"/>
  <c r="I459" i="58"/>
  <c r="J237" i="66"/>
  <c r="I459" i="37"/>
  <c r="I459" i="41" s="1"/>
  <c r="J93" i="66"/>
  <c r="O12" i="39"/>
  <c r="H460" i="37"/>
  <c r="J171" i="66"/>
  <c r="R171" i="66" s="1"/>
  <c r="C16" i="39"/>
  <c r="O16" i="39" s="1"/>
  <c r="K43" i="39"/>
  <c r="E143" i="38" s="1"/>
  <c r="C43" i="39"/>
  <c r="E92" i="38" s="1"/>
  <c r="J9" i="66" s="1"/>
  <c r="H478" i="58"/>
  <c r="E371" i="38" s="1"/>
  <c r="K153" i="66" s="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Y156" i="66"/>
  <c r="Z12" i="66"/>
  <c r="Z156" i="66"/>
  <c r="Y12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E353" i="38"/>
  <c r="K9" i="66" s="1"/>
  <c r="K45" i="66"/>
  <c r="H475" i="41"/>
  <c r="Z80" i="66"/>
  <c r="Z224" i="66"/>
  <c r="Y224" i="66"/>
  <c r="Y80" i="66"/>
  <c r="Q12" i="39"/>
  <c r="Z128" i="66"/>
  <c r="Y272" i="66"/>
  <c r="Z272" i="66"/>
  <c r="Y128" i="66"/>
  <c r="J45" i="66"/>
  <c r="H459" i="37"/>
  <c r="J75" i="66" l="1"/>
  <c r="I461" i="37"/>
  <c r="C20" i="63"/>
  <c r="J219" i="66"/>
  <c r="I461" i="58"/>
  <c r="C50" i="63" s="1"/>
  <c r="P285" i="66"/>
  <c r="S285" i="66"/>
  <c r="J476" i="37"/>
  <c r="J476" i="58"/>
  <c r="M40" i="39"/>
  <c r="E172" i="38" s="1"/>
  <c r="E40" i="39"/>
  <c r="E121" i="38" s="1"/>
  <c r="E13" i="39"/>
  <c r="P141" i="66"/>
  <c r="S141" i="66"/>
  <c r="D7" i="39"/>
  <c r="L43" i="39"/>
  <c r="E160" i="38" s="1"/>
  <c r="J201" i="66" s="1"/>
  <c r="D43" i="39"/>
  <c r="E109" i="38" s="1"/>
  <c r="J57" i="66" s="1"/>
  <c r="D16" i="39"/>
  <c r="P93" i="66"/>
  <c r="S93" i="66"/>
  <c r="P237" i="66"/>
  <c r="S237" i="66"/>
  <c r="P171" i="66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P57" i="66" l="1"/>
  <c r="S57" i="66"/>
  <c r="E43" i="39"/>
  <c r="E126" i="38" s="1"/>
  <c r="J105" i="66" s="1"/>
  <c r="M43" i="39"/>
  <c r="E177" i="38" s="1"/>
  <c r="J249" i="66" s="1"/>
  <c r="E16" i="39"/>
  <c r="S201" i="66"/>
  <c r="P201" i="66"/>
  <c r="S219" i="66"/>
  <c r="P219" i="66"/>
  <c r="J461" i="37"/>
  <c r="J123" i="66"/>
  <c r="J461" i="58"/>
  <c r="C60" i="63" s="1"/>
  <c r="J267" i="66"/>
  <c r="I461" i="41"/>
  <c r="S75" i="66"/>
  <c r="P75" i="66"/>
  <c r="S153" i="66"/>
  <c r="T153" i="66" s="1"/>
  <c r="P153" i="66"/>
  <c r="T9" i="66"/>
  <c r="T27" i="66"/>
  <c r="T189" i="66"/>
  <c r="T45" i="66"/>
  <c r="S123" i="66" l="1"/>
  <c r="P123" i="66"/>
  <c r="P267" i="66"/>
  <c r="S267" i="66"/>
  <c r="P249" i="66"/>
  <c r="S249" i="66"/>
  <c r="S105" i="66"/>
  <c r="P105" i="66"/>
  <c r="C30" i="63"/>
  <c r="J461" i="41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O28" i="9" a="1"/>
  <c r="O28" i="9" s="1"/>
  <c r="Q28" i="9" a="1"/>
  <c r="Q28" i="9" s="1"/>
  <c r="E40" i="22" s="1"/>
  <c r="Q38" i="9" a="1"/>
  <c r="Q38" i="9" s="1"/>
  <c r="E85" i="22" s="1"/>
  <c r="Q26" i="9" a="1"/>
  <c r="Q26" i="9" s="1"/>
  <c r="J16" i="20" s="1"/>
  <c r="O38" i="9" a="1"/>
  <c r="O38" i="9" s="1"/>
  <c r="E75" i="22" s="1"/>
  <c r="D3" i="9"/>
  <c r="O26" i="9" a="1"/>
  <c r="O26" i="9" s="1"/>
  <c r="O30" i="9" s="1"/>
  <c r="R7" i="9"/>
  <c r="E32" i="22"/>
  <c r="E39" i="22"/>
  <c r="P9" i="9"/>
  <c r="K42" i="39"/>
  <c r="E140" i="38" s="1"/>
  <c r="C42" i="39"/>
  <c r="E89" i="38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5" i="20"/>
  <c r="O6" i="9"/>
  <c r="Q15" i="20"/>
  <c r="Q7" i="20"/>
  <c r="H7" i="20"/>
  <c r="Q11" i="20"/>
  <c r="Q12" i="20"/>
  <c r="Q6" i="20"/>
  <c r="Q8" i="20"/>
  <c r="H9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J8" i="9"/>
  <c r="P28" i="9" a="1"/>
  <c r="P28" i="9" s="1"/>
  <c r="E5" i="22"/>
  <c r="M28" i="9" a="1"/>
  <c r="M28" i="9" s="1"/>
  <c r="O15" i="39" l="1"/>
  <c r="P15" i="39"/>
  <c r="D6" i="39"/>
  <c r="D42" i="39"/>
  <c r="E106" i="38" s="1"/>
  <c r="J92" i="66" s="1"/>
  <c r="L42" i="39"/>
  <c r="E157" i="38" s="1"/>
  <c r="J236" i="66" s="1"/>
  <c r="D15" i="39"/>
  <c r="AB3" i="39" s="1"/>
  <c r="H16" i="20"/>
  <c r="H6" i="20"/>
  <c r="O8" i="9"/>
  <c r="Q9" i="20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H75" i="35" a="1"/>
  <c r="H75" i="35" s="1"/>
  <c r="G228" i="18" a="1"/>
  <c r="G228" i="18" s="1"/>
  <c r="H82" i="35" a="1"/>
  <c r="H82" i="35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236" i="66" l="1"/>
  <c r="O236" i="66" s="1"/>
  <c r="Q236" i="66" s="1"/>
  <c r="R236" i="66" s="1"/>
  <c r="T236" i="66" s="1"/>
  <c r="P236" i="66"/>
  <c r="S236" i="66"/>
  <c r="N92" i="66"/>
  <c r="F15" i="39"/>
  <c r="P92" i="66"/>
  <c r="S92" i="66"/>
  <c r="M42" i="39"/>
  <c r="E174" i="38" s="1"/>
  <c r="J284" i="66" s="1"/>
  <c r="E42" i="39"/>
  <c r="E123" i="38" s="1"/>
  <c r="J140" i="66" s="1"/>
  <c r="E15" i="39"/>
  <c r="AC3" i="39" s="1"/>
  <c r="H43" i="35" a="1"/>
  <c r="H43" i="35" s="1"/>
  <c r="G184" i="18" a="1"/>
  <c r="G184" i="18" s="1"/>
  <c r="G190" i="18" a="1"/>
  <c r="G190" i="18" s="1"/>
  <c r="G188" i="18" a="1"/>
  <c r="G188" i="18" s="1"/>
  <c r="G186" i="18" a="1"/>
  <c r="G186" i="18" s="1"/>
  <c r="G197" i="18" a="1"/>
  <c r="G197" i="18" s="1"/>
  <c r="H40" i="35" a="1"/>
  <c r="H40" i="35" s="1"/>
  <c r="H31" i="35" a="1"/>
  <c r="H31" i="35" s="1"/>
  <c r="I150" i="37" s="1"/>
  <c r="H39" i="35" a="1"/>
  <c r="H39" i="35" s="1"/>
  <c r="H33" i="35" a="1"/>
  <c r="H33" i="35" s="1"/>
  <c r="H34" i="35" a="1"/>
  <c r="H34" i="35" s="1"/>
  <c r="G193" i="18" a="1"/>
  <c r="G193" i="18" s="1"/>
  <c r="H20" i="20"/>
  <c r="G187" i="18" a="1"/>
  <c r="G187" i="18" s="1"/>
  <c r="H37" i="35" a="1"/>
  <c r="H37" i="35" s="1"/>
  <c r="G194" i="18" a="1"/>
  <c r="G194" i="18" s="1"/>
  <c r="I194" i="18" s="1"/>
  <c r="G185" i="18" a="1"/>
  <c r="G185" i="18" s="1"/>
  <c r="G191" i="18" a="1"/>
  <c r="G191" i="18" s="1"/>
  <c r="G189" i="18" a="1"/>
  <c r="G189" i="18" s="1"/>
  <c r="H44" i="35" a="1"/>
  <c r="H44" i="35" s="1"/>
  <c r="H32" i="35" a="1"/>
  <c r="H32" i="35" s="1"/>
  <c r="I234" i="37" s="1"/>
  <c r="H35" i="35" a="1"/>
  <c r="H35" i="35" s="1"/>
  <c r="G192" i="18" a="1"/>
  <c r="G192" i="18" s="1"/>
  <c r="H38" i="35" a="1"/>
  <c r="H38" i="35" s="1"/>
  <c r="H42" i="35" a="1"/>
  <c r="H42" i="35" s="1"/>
  <c r="H41" i="35" a="1"/>
  <c r="H41" i="35" s="1"/>
  <c r="H36" i="35" a="1"/>
  <c r="H36" i="35" s="1"/>
  <c r="G195" i="18" a="1"/>
  <c r="G195" i="18" s="1"/>
  <c r="G196" i="18" a="1"/>
  <c r="G196" i="18" s="1"/>
  <c r="I196" i="18" s="1"/>
  <c r="G124" i="18" a="1"/>
  <c r="G124" i="18" s="1"/>
  <c r="G230" i="18" a="1"/>
  <c r="G230" i="18" s="1"/>
  <c r="G236" i="18" a="1"/>
  <c r="G236" i="18" s="1"/>
  <c r="H236" i="18" s="1"/>
  <c r="H86" i="35" a="1"/>
  <c r="H86" i="35" s="1"/>
  <c r="G227" i="18" a="1"/>
  <c r="G227" i="18" s="1"/>
  <c r="G229" i="18" a="1"/>
  <c r="G229" i="18" s="1"/>
  <c r="G235" i="18" a="1"/>
  <c r="G235" i="18" s="1"/>
  <c r="G233" i="18" a="1"/>
  <c r="G233" i="18" s="1"/>
  <c r="I233" i="18" s="1"/>
  <c r="G231" i="18" a="1"/>
  <c r="G231" i="18" s="1"/>
  <c r="G232" i="18" a="1"/>
  <c r="G232" i="18" s="1"/>
  <c r="I232" i="18" s="1"/>
  <c r="H84" i="35" a="1"/>
  <c r="H84" i="35" s="1"/>
  <c r="H77" i="35" a="1"/>
  <c r="H77" i="35" s="1"/>
  <c r="G237" i="18" a="1"/>
  <c r="G237" i="18" s="1"/>
  <c r="G239" i="18" a="1"/>
  <c r="G239" i="18" s="1"/>
  <c r="H83" i="35" a="1"/>
  <c r="H83" i="35" s="1"/>
  <c r="G234" i="18" a="1"/>
  <c r="G234" i="18" s="1"/>
  <c r="H234" i="18" s="1"/>
  <c r="H80" i="35" a="1"/>
  <c r="H80" i="35" s="1"/>
  <c r="G238" i="18" a="1"/>
  <c r="G238" i="18" s="1"/>
  <c r="H238" i="18" s="1"/>
  <c r="H76" i="35" a="1"/>
  <c r="H76" i="35" s="1"/>
  <c r="H74" i="35" a="1"/>
  <c r="H74" i="35" s="1"/>
  <c r="G226" i="18" a="1"/>
  <c r="G226" i="18" s="1"/>
  <c r="H81" i="35" a="1"/>
  <c r="H81" i="35" s="1"/>
  <c r="H85" i="35" a="1"/>
  <c r="H85" i="35" s="1"/>
  <c r="H73" i="35" a="1"/>
  <c r="H73" i="35" s="1"/>
  <c r="I162" i="37" s="1"/>
  <c r="H79" i="35" a="1"/>
  <c r="H79" i="35" s="1"/>
  <c r="Q20" i="20"/>
  <c r="Q10" i="9"/>
  <c r="G169" i="18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I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H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H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H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H238" i="37"/>
  <c r="H322" i="37"/>
  <c r="H184" i="37"/>
  <c r="H185" i="37"/>
  <c r="H183" i="37"/>
  <c r="I366" i="37"/>
  <c r="I246" i="37"/>
  <c r="H188" i="37"/>
  <c r="H187" i="37"/>
  <c r="H186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1" i="18"/>
  <c r="H231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Y92" i="66"/>
  <c r="Y236" i="66"/>
  <c r="Z236" i="66"/>
  <c r="Z92" i="66"/>
  <c r="O92" i="66"/>
  <c r="Q92" i="66" s="1"/>
  <c r="R92" i="66" s="1"/>
  <c r="T92" i="66" s="1"/>
  <c r="N140" i="66"/>
  <c r="G15" i="39"/>
  <c r="S140" i="66"/>
  <c r="P140" i="66"/>
  <c r="H194" i="18"/>
  <c r="I236" i="18"/>
  <c r="I234" i="18"/>
  <c r="I162" i="18"/>
  <c r="I114" i="18"/>
  <c r="H233" i="18"/>
  <c r="I115" i="18"/>
  <c r="I117" i="18"/>
  <c r="F117" i="18" s="1"/>
  <c r="I238" i="18"/>
  <c r="H167" i="18"/>
  <c r="J167" i="18" s="1"/>
  <c r="I165" i="18"/>
  <c r="H232" i="18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J122" i="18" s="1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Z284" i="66" l="1"/>
  <c r="Z140" i="66"/>
  <c r="Y140" i="66"/>
  <c r="O140" i="66"/>
  <c r="Q140" i="66" s="1"/>
  <c r="R140" i="66" s="1"/>
  <c r="T140" i="66" s="1"/>
  <c r="Y284" i="66"/>
  <c r="O284" i="66"/>
  <c r="Q284" i="66" s="1"/>
  <c r="R284" i="66" s="1"/>
  <c r="T284" i="66" s="1"/>
  <c r="J117" i="18"/>
  <c r="F160" i="18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251" i="72"/>
  <c r="G282" i="72"/>
  <c r="G158" i="72"/>
  <c r="G127" i="72"/>
  <c r="G96" i="72"/>
  <c r="G65" i="72"/>
  <c r="G34" i="72"/>
  <c r="G3" i="72"/>
  <c r="E65" i="72" l="1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 l="1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E221" i="72"/>
  <c r="F221" i="72" s="1"/>
  <c r="E97" i="72"/>
  <c r="F97" i="72" s="1"/>
  <c r="E128" i="72"/>
  <c r="F128" i="72" s="1"/>
  <c r="E160" i="72" l="1"/>
  <c r="F160" i="72" s="1"/>
  <c r="G161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E253" i="72"/>
  <c r="F253" i="72" s="1"/>
  <c r="E191" i="72"/>
  <c r="F191" i="72" s="1"/>
  <c r="E67" i="72"/>
  <c r="F67" i="72" s="1"/>
  <c r="H162" i="72" l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5" i="72"/>
  <c r="F5" i="72" s="1"/>
  <c r="E99" i="72" l="1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J4" i="37"/>
  <c r="J4" i="58"/>
  <c r="E68" i="72"/>
  <c r="F68" i="72" s="1"/>
  <c r="E286" i="72"/>
  <c r="F286" i="72" s="1"/>
  <c r="I4" i="37"/>
  <c r="I4" i="58"/>
  <c r="E130" i="72"/>
  <c r="F130" i="72" s="1"/>
  <c r="E254" i="72"/>
  <c r="F254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2" i="72"/>
  <c r="F192" i="72" s="1"/>
  <c r="E223" i="72"/>
  <c r="F223" i="72" s="1"/>
  <c r="E162" i="72"/>
  <c r="F162" i="72" s="1"/>
  <c r="E6" i="72" l="1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H4" i="58"/>
  <c r="H4" i="37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8" i="72"/>
  <c r="F3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F197" i="66"/>
  <c r="E25" i="53"/>
  <c r="N4" i="58"/>
  <c r="O4" i="58"/>
  <c r="E37" i="53"/>
  <c r="F245" i="66"/>
  <c r="E19" i="53"/>
  <c r="I4" i="41"/>
  <c r="D45" i="39" s="1"/>
  <c r="F53" i="66"/>
  <c r="E31" i="53"/>
  <c r="F101" i="66"/>
  <c r="J4" i="41"/>
  <c r="E45" i="39" s="1"/>
  <c r="E287" i="72" l="1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01" i="72"/>
  <c r="F101" i="72" s="1"/>
  <c r="G102" i="72" s="1"/>
  <c r="M45" i="39"/>
  <c r="E131" i="72"/>
  <c r="F131" i="72" s="1"/>
  <c r="E163" i="72"/>
  <c r="F163" i="72" s="1"/>
  <c r="E7" i="72"/>
  <c r="F7" i="72" s="1"/>
  <c r="E56" i="39"/>
  <c r="E124" i="38"/>
  <c r="E59" i="39"/>
  <c r="E60" i="39" s="1"/>
  <c r="E224" i="72"/>
  <c r="F224" i="72" s="1"/>
  <c r="E7" i="53"/>
  <c r="H4" i="41"/>
  <c r="K45" i="39" s="1"/>
  <c r="F5" i="66"/>
  <c r="D56" i="39"/>
  <c r="D59" i="39"/>
  <c r="D60" i="39" s="1"/>
  <c r="E107" i="38"/>
  <c r="E13" i="53"/>
  <c r="F149" i="66"/>
  <c r="M4" i="58"/>
  <c r="L45" i="39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69" i="72"/>
  <c r="F69" i="72" s="1"/>
  <c r="E193" i="72"/>
  <c r="F193" i="72" s="1"/>
  <c r="E255" i="72"/>
  <c r="F255" i="72" s="1"/>
  <c r="C45" i="39" l="1"/>
  <c r="E90" i="38" s="1"/>
  <c r="H103" i="72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L59" i="39"/>
  <c r="L60" i="39" s="1"/>
  <c r="L56" i="39"/>
  <c r="E158" i="38"/>
  <c r="J466" i="37"/>
  <c r="J474" i="37"/>
  <c r="J101" i="66"/>
  <c r="D31" i="53"/>
  <c r="F31" i="53" s="1"/>
  <c r="H37" i="53" s="1"/>
  <c r="E57" i="39"/>
  <c r="E58" i="39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K59" i="39"/>
  <c r="K60" i="39" s="1"/>
  <c r="K56" i="39"/>
  <c r="E141" i="38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D19" i="53"/>
  <c r="F19" i="53" s="1"/>
  <c r="H25" i="53" s="1"/>
  <c r="J53" i="66"/>
  <c r="I466" i="37"/>
  <c r="I474" i="37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C59" i="39"/>
  <c r="C60" i="39" s="1"/>
  <c r="C56" i="39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M59" i="39"/>
  <c r="M60" i="39" s="1"/>
  <c r="M56" i="39"/>
  <c r="E175" i="38"/>
  <c r="D58" i="39"/>
  <c r="D57" i="39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F102" i="66"/>
  <c r="J489" i="37"/>
  <c r="E103" i="72"/>
  <c r="F103" i="72" s="1"/>
  <c r="F55" i="66"/>
  <c r="I479" i="37"/>
  <c r="I489" i="37"/>
  <c r="F54" i="66"/>
  <c r="J149" i="66"/>
  <c r="H474" i="58"/>
  <c r="H466" i="58"/>
  <c r="D13" i="53"/>
  <c r="F13" i="53" s="1"/>
  <c r="H7" i="53" s="1"/>
  <c r="W53" i="66"/>
  <c r="S53" i="66"/>
  <c r="K58" i="39"/>
  <c r="K57" i="39"/>
  <c r="M57" i="39"/>
  <c r="M58" i="39"/>
  <c r="H474" i="37"/>
  <c r="J5" i="66"/>
  <c r="D7" i="53"/>
  <c r="F7" i="53" s="1"/>
  <c r="H466" i="37"/>
  <c r="D25" i="53"/>
  <c r="F25" i="53" s="1"/>
  <c r="J197" i="66"/>
  <c r="I466" i="58"/>
  <c r="I466" i="41" s="1"/>
  <c r="I474" i="58"/>
  <c r="C58" i="39"/>
  <c r="C57" i="39"/>
  <c r="J466" i="58"/>
  <c r="J466" i="41" s="1"/>
  <c r="J474" i="58"/>
  <c r="D37" i="53"/>
  <c r="F37" i="53" s="1"/>
  <c r="J245" i="66"/>
  <c r="E225" i="72"/>
  <c r="F225" i="72" s="1"/>
  <c r="E164" i="72"/>
  <c r="F164" i="72" s="1"/>
  <c r="L57" i="39"/>
  <c r="L58" i="39"/>
  <c r="S101" i="66"/>
  <c r="W101" i="66"/>
  <c r="E256" i="72"/>
  <c r="F256" i="72" s="1"/>
  <c r="J479" i="37"/>
  <c r="F103" i="66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90" i="72"/>
  <c r="F290" i="72" s="1"/>
  <c r="G29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J480" i="37"/>
  <c r="E366" i="38"/>
  <c r="K103" i="66" s="1"/>
  <c r="N103" i="66" s="1"/>
  <c r="J479" i="58"/>
  <c r="F247" i="66"/>
  <c r="W149" i="66"/>
  <c r="S149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I474" i="41"/>
  <c r="F199" i="66"/>
  <c r="I479" i="58"/>
  <c r="I479" i="41" s="1"/>
  <c r="H474" i="41"/>
  <c r="H479" i="37"/>
  <c r="F7" i="66"/>
  <c r="J489" i="58"/>
  <c r="J489" i="41" s="1"/>
  <c r="F246" i="66"/>
  <c r="H489" i="58"/>
  <c r="F150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I489" i="58"/>
  <c r="I489" i="41" s="1"/>
  <c r="F198" i="66"/>
  <c r="H466" i="41"/>
  <c r="H489" i="37"/>
  <c r="F6" i="66"/>
  <c r="L54" i="66"/>
  <c r="P54" i="66" s="1"/>
  <c r="L102" i="66"/>
  <c r="P102" i="66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H479" i="58"/>
  <c r="F151" i="66"/>
  <c r="J474" i="41"/>
  <c r="S245" i="66"/>
  <c r="W245" i="66"/>
  <c r="S197" i="66"/>
  <c r="W197" i="66"/>
  <c r="G7" i="53"/>
  <c r="H13" i="53"/>
  <c r="G13" i="53" s="1"/>
  <c r="E9" i="72"/>
  <c r="F9" i="72" s="1"/>
  <c r="G37" i="53"/>
  <c r="H31" i="53"/>
  <c r="G31" i="53" s="1"/>
  <c r="G25" i="53"/>
  <c r="H19" i="53"/>
  <c r="G19" i="53" s="1"/>
  <c r="S5" i="66"/>
  <c r="W5" i="66"/>
  <c r="I480" i="37"/>
  <c r="E360" i="38"/>
  <c r="K55" i="66" s="1"/>
  <c r="N55" i="66" s="1"/>
  <c r="H292" i="72" l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H489" i="4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N54" i="66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N102" i="66"/>
  <c r="E354" i="38"/>
  <c r="K7" i="66" s="1"/>
  <c r="N7" i="66" s="1"/>
  <c r="H480" i="37"/>
  <c r="H479" i="41"/>
  <c r="E134" i="72"/>
  <c r="F134" i="72" s="1"/>
  <c r="L150" i="66"/>
  <c r="P150" i="66" s="1"/>
  <c r="V150" i="66" s="1"/>
  <c r="X150" i="66" s="1"/>
  <c r="E295" i="38"/>
  <c r="E301" i="38"/>
  <c r="M149" i="66" s="1"/>
  <c r="L198" i="66"/>
  <c r="P198" i="66" s="1"/>
  <c r="E196" i="72"/>
  <c r="F196" i="72" s="1"/>
  <c r="E289" i="38"/>
  <c r="E283" i="38"/>
  <c r="E378" i="38"/>
  <c r="K199" i="66" s="1"/>
  <c r="N199" i="66" s="1"/>
  <c r="Z199" i="66" s="1"/>
  <c r="I480" i="58"/>
  <c r="E379" i="38" s="1"/>
  <c r="K218" i="66" s="1"/>
  <c r="N218" i="66" s="1"/>
  <c r="E307" i="38"/>
  <c r="E313" i="38"/>
  <c r="J480" i="58"/>
  <c r="E385" i="38" s="1"/>
  <c r="K266" i="66" s="1"/>
  <c r="N266" i="66" s="1"/>
  <c r="E384" i="38"/>
  <c r="K247" i="66" s="1"/>
  <c r="N247" i="66" s="1"/>
  <c r="Y247" i="66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361" i="38"/>
  <c r="K74" i="66" s="1"/>
  <c r="N74" i="66" s="1"/>
  <c r="E319" i="38"/>
  <c r="E325" i="38"/>
  <c r="M197" i="66" s="1"/>
  <c r="E42" i="72"/>
  <c r="F42" i="72" s="1"/>
  <c r="J479" i="41"/>
  <c r="E331" i="38"/>
  <c r="E337" i="38"/>
  <c r="E372" i="38"/>
  <c r="K151" i="66" s="1"/>
  <c r="N151" i="66" s="1"/>
  <c r="H480" i="58"/>
  <c r="E373" i="38" s="1"/>
  <c r="K170" i="66" s="1"/>
  <c r="N170" i="66" s="1"/>
  <c r="L246" i="66"/>
  <c r="P246" i="66" s="1"/>
  <c r="E343" i="38"/>
  <c r="E349" i="38"/>
  <c r="M245" i="66" s="1"/>
  <c r="E257" i="72"/>
  <c r="F257" i="72" s="1"/>
  <c r="L6" i="66"/>
  <c r="P6" i="66" s="1"/>
  <c r="V6" i="66" s="1"/>
  <c r="X6" i="66" s="1"/>
  <c r="E72" i="72"/>
  <c r="F72" i="72" s="1"/>
  <c r="E367" i="38"/>
  <c r="K122" i="66" s="1"/>
  <c r="N122" i="66" s="1"/>
  <c r="Z103" i="66" l="1"/>
  <c r="Z247" i="66"/>
  <c r="N6" i="66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Y103" i="66"/>
  <c r="I480" i="41"/>
  <c r="J480" i="4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Z55" i="66"/>
  <c r="Y199" i="66"/>
  <c r="N150" i="66"/>
  <c r="Z122" i="66"/>
  <c r="Z266" i="66"/>
  <c r="Y266" i="66"/>
  <c r="Y122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Y55" i="66"/>
  <c r="H486" i="37"/>
  <c r="L5" i="66"/>
  <c r="M5" i="66"/>
  <c r="B20" i="8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Z218" i="66"/>
  <c r="Z74" i="66"/>
  <c r="Y74" i="66"/>
  <c r="Y218" i="66"/>
  <c r="M101" i="66"/>
  <c r="G18" i="39" s="1"/>
  <c r="D20" i="8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J486" i="37"/>
  <c r="L101" i="66"/>
  <c r="N246" i="66"/>
  <c r="O246" i="66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0" i="72"/>
  <c r="F10" i="72" s="1"/>
  <c r="C20" i="8"/>
  <c r="M53" i="66"/>
  <c r="F18" i="39" s="1"/>
  <c r="N198" i="66"/>
  <c r="E355" i="38"/>
  <c r="K26" i="66" s="1"/>
  <c r="N26" i="66" s="1"/>
  <c r="H480" i="41"/>
  <c r="L245" i="66"/>
  <c r="J486" i="58"/>
  <c r="L53" i="66"/>
  <c r="I486" i="37"/>
  <c r="Y7" i="66"/>
  <c r="Z151" i="66"/>
  <c r="Z7" i="66"/>
  <c r="Y151" i="66"/>
  <c r="I486" i="58"/>
  <c r="L197" i="66"/>
  <c r="H486" i="58"/>
  <c r="L149" i="66"/>
  <c r="O150" i="66" l="1"/>
  <c r="Z6" i="66"/>
  <c r="Z150" i="66"/>
  <c r="O6" i="66"/>
  <c r="Q6" i="66" s="1"/>
  <c r="Y150" i="66"/>
  <c r="Y6" i="66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I486" i="4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Z246" i="66"/>
  <c r="Z170" i="66"/>
  <c r="Z26" i="66"/>
  <c r="Y170" i="66"/>
  <c r="Y26" i="66"/>
  <c r="N101" i="66"/>
  <c r="P101" i="66"/>
  <c r="U246" i="66"/>
  <c r="Q246" i="66"/>
  <c r="V246" i="66"/>
  <c r="X246" i="66" s="1"/>
  <c r="O102" i="66"/>
  <c r="O198" i="66"/>
  <c r="Y198" i="66"/>
  <c r="Z198" i="66"/>
  <c r="Z54" i="66"/>
  <c r="O54" i="66"/>
  <c r="Y54" i="66"/>
  <c r="J486" i="41"/>
  <c r="E73" i="72"/>
  <c r="F73" i="72" s="1"/>
  <c r="Y246" i="66"/>
  <c r="Y102" i="66"/>
  <c r="Z102" i="66"/>
  <c r="P53" i="66"/>
  <c r="N53" i="66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N5" i="66"/>
  <c r="R5" i="66"/>
  <c r="T5" i="66" s="1"/>
  <c r="P5" i="66"/>
  <c r="V5" i="66" s="1"/>
  <c r="X5" i="66" s="1"/>
  <c r="P197" i="66"/>
  <c r="N197" i="66"/>
  <c r="U150" i="66"/>
  <c r="Q150" i="66"/>
  <c r="H486" i="41"/>
  <c r="P149" i="66"/>
  <c r="V149" i="66" s="1"/>
  <c r="X149" i="66" s="1"/>
  <c r="R149" i="66"/>
  <c r="T149" i="66" s="1"/>
  <c r="N149" i="66"/>
  <c r="N245" i="66"/>
  <c r="P245" i="66"/>
  <c r="E167" i="72"/>
  <c r="F167" i="72" s="1"/>
  <c r="E197" i="72"/>
  <c r="F197" i="72" s="1"/>
  <c r="E135" i="72"/>
  <c r="F135" i="72" s="1"/>
  <c r="U6" i="66" l="1"/>
  <c r="O245" i="66"/>
  <c r="U245" i="66" s="1"/>
  <c r="O149" i="66"/>
  <c r="U149" i="66" s="1"/>
  <c r="O197" i="66"/>
  <c r="U197" i="66" s="1"/>
  <c r="E44" i="72"/>
  <c r="F44" i="72" s="1"/>
  <c r="G4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Y5" i="66"/>
  <c r="Y149" i="66"/>
  <c r="Z5" i="66"/>
  <c r="O5" i="66"/>
  <c r="Z149" i="66"/>
  <c r="Y245" i="66"/>
  <c r="O101" i="66"/>
  <c r="Z101" i="66"/>
  <c r="Y101" i="66"/>
  <c r="Z245" i="66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7" i="72"/>
  <c r="F107" i="72" s="1"/>
  <c r="E229" i="72"/>
  <c r="F229" i="72" s="1"/>
  <c r="Q54" i="66"/>
  <c r="V54" i="66"/>
  <c r="X54" i="66" s="1"/>
  <c r="U54" i="66"/>
  <c r="E11" i="72"/>
  <c r="F11" i="72" s="1"/>
  <c r="E259" i="72"/>
  <c r="F259" i="72" s="1"/>
  <c r="O53" i="66"/>
  <c r="Z197" i="66"/>
  <c r="Z53" i="66"/>
  <c r="Y197" i="66"/>
  <c r="Y53" i="66"/>
  <c r="Q198" i="66"/>
  <c r="U198" i="66"/>
  <c r="V198" i="66"/>
  <c r="X198" i="66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Q102" i="66"/>
  <c r="U102" i="66"/>
  <c r="V102" i="66"/>
  <c r="X102" i="66" s="1"/>
  <c r="E294" i="72"/>
  <c r="F2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V245" i="66" l="1"/>
  <c r="X245" i="66" s="1"/>
  <c r="Q245" i="66"/>
  <c r="R245" i="66" s="1"/>
  <c r="T245" i="66" s="1"/>
  <c r="V197" i="66"/>
  <c r="X197" i="66" s="1"/>
  <c r="Q197" i="66"/>
  <c r="R197" i="66" s="1"/>
  <c r="T197" i="66" s="1"/>
  <c r="Q149" i="66"/>
  <c r="H46" i="72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Q5" i="66"/>
  <c r="U5" i="66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4" i="72"/>
  <c r="F7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98" i="72"/>
  <c r="F198" i="72" s="1"/>
  <c r="V53" i="66"/>
  <c r="X53" i="66" s="1"/>
  <c r="U53" i="66"/>
  <c r="Q53" i="66"/>
  <c r="R53" i="66" s="1"/>
  <c r="T53" i="66" s="1"/>
  <c r="E168" i="72"/>
  <c r="F168" i="72" s="1"/>
  <c r="Q101" i="66"/>
  <c r="R101" i="66" s="1"/>
  <c r="T101" i="66" s="1"/>
  <c r="U101" i="66"/>
  <c r="V101" i="66"/>
  <c r="X101" i="66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/>
  <c r="F108" i="72" s="1"/>
  <c r="G10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2" i="72"/>
  <c r="F1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6" i="72"/>
  <c r="F46" i="72" s="1"/>
  <c r="E260" i="72"/>
  <c r="F260" i="72" s="1"/>
  <c r="E137" i="72"/>
  <c r="F137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H110" i="72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6" i="72"/>
  <c r="F29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75" i="72"/>
  <c r="F75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8" i="72"/>
  <c r="F138" i="72" s="1"/>
  <c r="E170" i="72"/>
  <c r="F170" i="72" s="1"/>
  <c r="E110" i="72"/>
  <c r="F11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47" i="72"/>
  <c r="F4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" i="72"/>
  <c r="F1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62" i="72"/>
  <c r="F262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E139" i="72"/>
  <c r="F13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8" i="72"/>
  <c r="F48" i="72" s="1"/>
  <c r="E77" i="72"/>
  <c r="F7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4" i="72"/>
  <c r="F234" i="72" s="1"/>
  <c r="E111" i="72"/>
  <c r="F111" i="72" s="1"/>
  <c r="E298" i="72"/>
  <c r="F298" i="72" s="1"/>
  <c r="G78" i="72" l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2" i="72"/>
  <c r="F17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3" i="72"/>
  <c r="F263" i="72" s="1"/>
  <c r="E15" i="72"/>
  <c r="F1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9" i="72"/>
  <c r="F29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78" i="72"/>
  <c r="F78" i="72" s="1"/>
  <c r="E203" i="72"/>
  <c r="F203" i="72" s="1"/>
  <c r="E235" i="72"/>
  <c r="F235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13" i="72"/>
  <c r="F11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6" i="72"/>
  <c r="F1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1" i="72"/>
  <c r="F141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6" i="72"/>
  <c r="F236" i="72" s="1"/>
  <c r="E265" i="72"/>
  <c r="F265" i="72" s="1"/>
  <c r="E204" i="72"/>
  <c r="F204" i="72" s="1"/>
  <c r="E51" i="72"/>
  <c r="F5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4" i="72"/>
  <c r="F174" i="72" s="1"/>
  <c r="E79" i="72"/>
  <c r="F79" i="72" s="1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4" i="72"/>
  <c r="F114" i="72" s="1"/>
  <c r="E17" i="72"/>
  <c r="F17" i="72" s="1"/>
  <c r="E142" i="72"/>
  <c r="F14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301" i="72"/>
  <c r="F301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66" i="72"/>
  <c r="F266" i="72" s="1"/>
  <c r="E205" i="72"/>
  <c r="F20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5" i="72"/>
  <c r="F17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7" i="72"/>
  <c r="F237" i="72" s="1"/>
  <c r="E52" i="72"/>
  <c r="F52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3" i="72"/>
  <c r="F14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1" i="72"/>
  <c r="F8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8" i="72"/>
  <c r="F18" i="72" s="1"/>
  <c r="E302" i="72"/>
  <c r="F30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8" i="72"/>
  <c r="F238" i="72" s="1"/>
  <c r="E116" i="72"/>
  <c r="F11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6" i="72"/>
  <c r="F20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6" i="72"/>
  <c r="F176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82" i="72"/>
  <c r="F82" i="72" s="1"/>
  <c r="E54" i="72"/>
  <c r="F5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3" i="72"/>
  <c r="F30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7" i="72" l="1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55" i="72"/>
  <c r="H56" i="72" s="1"/>
  <c r="I57" i="72" s="1"/>
  <c r="J58" i="72" s="1"/>
  <c r="K59" i="72" s="1"/>
  <c r="L60" i="72" s="1"/>
  <c r="M61" i="72" s="1"/>
  <c r="N62" i="72" s="1"/>
  <c r="O63" i="72" s="1"/>
  <c r="G304" i="72"/>
  <c r="H305" i="72" s="1"/>
  <c r="I306" i="72" s="1"/>
  <c r="J307" i="72" s="1"/>
  <c r="K308" i="72" s="1"/>
  <c r="L309" i="72" s="1"/>
  <c r="M310" i="72" s="1"/>
  <c r="N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7" i="72"/>
  <c r="F207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3" i="72"/>
  <c r="F83" i="72" s="1"/>
  <c r="E55" i="72"/>
  <c r="F55" i="72" s="1"/>
  <c r="E118" i="72"/>
  <c r="F118" i="72" s="1"/>
  <c r="E240" i="72"/>
  <c r="F24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304" i="72"/>
  <c r="F304" i="72" s="1"/>
  <c r="E178" i="72"/>
  <c r="F178" i="72" s="1"/>
  <c r="E21" i="72"/>
  <c r="F21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5" i="72"/>
  <c r="H306" i="72" s="1"/>
  <c r="I307" i="72" s="1"/>
  <c r="J308" i="72" s="1"/>
  <c r="K309" i="72" s="1"/>
  <c r="L310" i="72" s="1"/>
  <c r="M311" i="72" s="1"/>
  <c r="G119" i="72"/>
  <c r="H120" i="72" s="1"/>
  <c r="I121" i="72" s="1"/>
  <c r="J122" i="72" s="1"/>
  <c r="K123" i="72" s="1"/>
  <c r="L124" i="72" s="1"/>
  <c r="M125" i="72" s="1"/>
  <c r="E208" i="72"/>
  <c r="F208" i="72" s="1"/>
  <c r="G56" i="72"/>
  <c r="H57" i="72" s="1"/>
  <c r="I58" i="72" s="1"/>
  <c r="J59" i="72" s="1"/>
  <c r="K60" i="72" s="1"/>
  <c r="L61" i="72" s="1"/>
  <c r="M62" i="72" s="1"/>
  <c r="N63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56" i="72"/>
  <c r="F56" i="72" s="1"/>
  <c r="G57" i="72" s="1"/>
  <c r="H58" i="72" s="1"/>
  <c r="I59" i="72" s="1"/>
  <c r="J60" i="72" s="1"/>
  <c r="K61" i="72" s="1"/>
  <c r="L62" i="72" s="1"/>
  <c r="M63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9" i="72"/>
  <c r="F119" i="72" s="1"/>
  <c r="G120" i="72" s="1"/>
  <c r="H121" i="72" s="1"/>
  <c r="I122" i="72" s="1"/>
  <c r="J123" i="72" s="1"/>
  <c r="K124" i="72" s="1"/>
  <c r="L125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305" i="72"/>
  <c r="F305" i="72" s="1"/>
  <c r="G306" i="72" s="1"/>
  <c r="H307" i="72" s="1"/>
  <c r="I308" i="72" s="1"/>
  <c r="J309" i="72" s="1"/>
  <c r="K310" i="72" s="1"/>
  <c r="L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79" i="72"/>
  <c r="F179" i="72" s="1"/>
  <c r="E22" i="72"/>
  <c r="F22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6" i="72"/>
  <c r="F306" i="72" s="1"/>
  <c r="G307" i="72" s="1"/>
  <c r="H308" i="72" s="1"/>
  <c r="I309" i="72" s="1"/>
  <c r="J310" i="72" s="1"/>
  <c r="K311" i="72" s="1"/>
  <c r="E57" i="72"/>
  <c r="F57" i="72" s="1"/>
  <c r="G58" i="72" s="1"/>
  <c r="E120" i="72"/>
  <c r="F120" i="72" s="1"/>
  <c r="G121" i="72" s="1"/>
  <c r="H122" i="72" s="1"/>
  <c r="I123" i="72" s="1"/>
  <c r="J124" i="72" s="1"/>
  <c r="K125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242" i="72"/>
  <c r="F242" i="72" s="1"/>
  <c r="G180" i="72"/>
  <c r="H181" i="72" s="1"/>
  <c r="I182" i="72" s="1"/>
  <c r="J183" i="72" s="1"/>
  <c r="K184" i="72" s="1"/>
  <c r="L185" i="72" s="1"/>
  <c r="M186" i="72" s="1"/>
  <c r="N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H59" i="72"/>
  <c r="I60" i="72" s="1"/>
  <c r="J61" i="72" s="1"/>
  <c r="K62" i="72" s="1"/>
  <c r="L63" i="72" s="1"/>
  <c r="E58" i="72"/>
  <c r="F58" i="72" s="1"/>
  <c r="G59" i="72" s="1"/>
  <c r="H60" i="72" s="1"/>
  <c r="I61" i="72" s="1"/>
  <c r="J62" i="72" s="1"/>
  <c r="K63" i="72" s="1"/>
  <c r="E150" i="72"/>
  <c r="F150" i="72" s="1"/>
  <c r="G151" i="72" s="1"/>
  <c r="H152" i="72" s="1"/>
  <c r="I153" i="72" s="1"/>
  <c r="J154" i="72" s="1"/>
  <c r="K155" i="72" s="1"/>
  <c r="L156" i="72" s="1"/>
  <c r="E274" i="72"/>
  <c r="F274" i="72" s="1"/>
  <c r="G275" i="72" s="1"/>
  <c r="H276" i="72" s="1"/>
  <c r="I277" i="72" s="1"/>
  <c r="J278" i="72" s="1"/>
  <c r="K279" i="72" s="1"/>
  <c r="L280" i="72" s="1"/>
  <c r="E121" i="72"/>
  <c r="F121" i="72" s="1"/>
  <c r="G122" i="72" s="1"/>
  <c r="H123" i="72" s="1"/>
  <c r="I124" i="72" s="1"/>
  <c r="J125" i="72" s="1"/>
  <c r="E307" i="72"/>
  <c r="F307" i="72" s="1"/>
  <c r="G308" i="72" s="1"/>
  <c r="H309" i="72" s="1"/>
  <c r="I310" i="72" s="1"/>
  <c r="J311" i="72" s="1"/>
  <c r="G243" i="72"/>
  <c r="H244" i="72" s="1"/>
  <c r="I245" i="72" s="1"/>
  <c r="J246" i="72" s="1"/>
  <c r="K247" i="72" s="1"/>
  <c r="L248" i="72" s="1"/>
  <c r="M249" i="72" s="1"/>
  <c r="E180" i="72"/>
  <c r="F180" i="72" s="1"/>
  <c r="E210" i="72"/>
  <c r="F210" i="72" s="1"/>
  <c r="E86" i="72"/>
  <c r="F86" i="72" s="1"/>
  <c r="E59" i="72" l="1"/>
  <c r="F59" i="72" s="1"/>
  <c r="G60" i="72" s="1"/>
  <c r="H61" i="72" s="1"/>
  <c r="I62" i="72" s="1"/>
  <c r="J63" i="72" s="1"/>
  <c r="E308" i="72"/>
  <c r="F308" i="72" s="1"/>
  <c r="G309" i="72" s="1"/>
  <c r="H310" i="72" s="1"/>
  <c r="I311" i="72" s="1"/>
  <c r="E243" i="72"/>
  <c r="F243" i="72" s="1"/>
  <c r="G211" i="72"/>
  <c r="H212" i="72" s="1"/>
  <c r="I213" i="72" s="1"/>
  <c r="J214" i="72" s="1"/>
  <c r="K215" i="72" s="1"/>
  <c r="L216" i="72" s="1"/>
  <c r="M217" i="72" s="1"/>
  <c r="N218" i="72" s="1"/>
  <c r="G87" i="72"/>
  <c r="H88" i="72" s="1"/>
  <c r="I89" i="72" s="1"/>
  <c r="J90" i="72" s="1"/>
  <c r="K91" i="72" s="1"/>
  <c r="L92" i="72" s="1"/>
  <c r="M93" i="72" s="1"/>
  <c r="N94" i="72" s="1"/>
  <c r="E275" i="72"/>
  <c r="F275" i="72" s="1"/>
  <c r="E24" i="72"/>
  <c r="F24" i="72" s="1"/>
  <c r="E122" i="72"/>
  <c r="F122" i="72" s="1"/>
  <c r="G181" i="72"/>
  <c r="H182" i="72" s="1"/>
  <c r="I183" i="72" s="1"/>
  <c r="J184" i="72" s="1"/>
  <c r="K185" i="72" s="1"/>
  <c r="L186" i="72" s="1"/>
  <c r="M187" i="72" s="1"/>
  <c r="E151" i="72"/>
  <c r="F151" i="72" s="1"/>
  <c r="E181" i="72" l="1"/>
  <c r="F181" i="72" s="1"/>
  <c r="G182" i="72" s="1"/>
  <c r="H183" i="72" s="1"/>
  <c r="I184" i="72" s="1"/>
  <c r="J185" i="72" s="1"/>
  <c r="K186" i="72" s="1"/>
  <c r="L187" i="72" s="1"/>
  <c r="E60" i="72"/>
  <c r="F60" i="72" s="1"/>
  <c r="G61" i="72" s="1"/>
  <c r="H62" i="72" s="1"/>
  <c r="I63" i="72" s="1"/>
  <c r="G276" i="72"/>
  <c r="H277" i="72" s="1"/>
  <c r="I278" i="72" s="1"/>
  <c r="J279" i="72" s="1"/>
  <c r="K280" i="72" s="1"/>
  <c r="G152" i="72"/>
  <c r="H153" i="72" s="1"/>
  <c r="I154" i="72" s="1"/>
  <c r="J155" i="72" s="1"/>
  <c r="K156" i="72" s="1"/>
  <c r="E87" i="72"/>
  <c r="F87" i="72" s="1"/>
  <c r="E211" i="72"/>
  <c r="F211" i="72" s="1"/>
  <c r="G123" i="72"/>
  <c r="H124" i="72" s="1"/>
  <c r="I125" i="72" s="1"/>
  <c r="G25" i="72"/>
  <c r="H26" i="72" s="1"/>
  <c r="I27" i="72" s="1"/>
  <c r="J28" i="72" s="1"/>
  <c r="K29" i="72" s="1"/>
  <c r="L30" i="72" s="1"/>
  <c r="M31" i="72" s="1"/>
  <c r="N32" i="72" s="1"/>
  <c r="G244" i="72"/>
  <c r="H245" i="72" s="1"/>
  <c r="I246" i="72" s="1"/>
  <c r="J247" i="72" s="1"/>
  <c r="K248" i="72" s="1"/>
  <c r="L249" i="72" s="1"/>
  <c r="E309" i="72"/>
  <c r="F309" i="72" s="1"/>
  <c r="E244" i="72" l="1"/>
  <c r="F244" i="72" s="1"/>
  <c r="G245" i="72" s="1"/>
  <c r="H246" i="72" s="1"/>
  <c r="I247" i="72" s="1"/>
  <c r="J248" i="72" s="1"/>
  <c r="K249" i="72" s="1"/>
  <c r="E276" i="72"/>
  <c r="F276" i="72" s="1"/>
  <c r="G277" i="72" s="1"/>
  <c r="H278" i="72" s="1"/>
  <c r="I279" i="72" s="1"/>
  <c r="J280" i="72" s="1"/>
  <c r="E25" i="72"/>
  <c r="F25" i="72" s="1"/>
  <c r="G26" i="72" s="1"/>
  <c r="H27" i="72" s="1"/>
  <c r="I28" i="72" s="1"/>
  <c r="J29" i="72" s="1"/>
  <c r="K30" i="72" s="1"/>
  <c r="L31" i="72" s="1"/>
  <c r="M32" i="72" s="1"/>
  <c r="E123" i="72"/>
  <c r="F123" i="72" s="1"/>
  <c r="G310" i="72"/>
  <c r="H311" i="72" s="1"/>
  <c r="E61" i="72"/>
  <c r="F61" i="72" s="1"/>
  <c r="G212" i="72"/>
  <c r="H213" i="72" s="1"/>
  <c r="I214" i="72" s="1"/>
  <c r="J215" i="72" s="1"/>
  <c r="K216" i="72" s="1"/>
  <c r="L217" i="72" s="1"/>
  <c r="M218" i="72" s="1"/>
  <c r="G88" i="72"/>
  <c r="H89" i="72" s="1"/>
  <c r="I90" i="72" s="1"/>
  <c r="J91" i="72" s="1"/>
  <c r="K92" i="72" s="1"/>
  <c r="L93" i="72" s="1"/>
  <c r="M94" i="72" s="1"/>
  <c r="E152" i="72"/>
  <c r="F152" i="72" s="1"/>
  <c r="E182" i="72"/>
  <c r="F182" i="72" s="1"/>
  <c r="E277" i="72" l="1"/>
  <c r="F277" i="72" s="1"/>
  <c r="G278" i="72" s="1"/>
  <c r="H279" i="72" s="1"/>
  <c r="I280" i="72" s="1"/>
  <c r="E26" i="72"/>
  <c r="F26" i="72" s="1"/>
  <c r="G27" i="72" s="1"/>
  <c r="H28" i="72" s="1"/>
  <c r="I29" i="72" s="1"/>
  <c r="J30" i="72" s="1"/>
  <c r="K31" i="72" s="1"/>
  <c r="L32" i="72" s="1"/>
  <c r="E310" i="72"/>
  <c r="F310" i="72" s="1"/>
  <c r="G311" i="72" s="1"/>
  <c r="E311" i="72" s="1"/>
  <c r="F311" i="72" s="1"/>
  <c r="E212" i="72"/>
  <c r="F212" i="72" s="1"/>
  <c r="G213" i="72" s="1"/>
  <c r="H214" i="72" s="1"/>
  <c r="I215" i="72" s="1"/>
  <c r="J216" i="72" s="1"/>
  <c r="K217" i="72" s="1"/>
  <c r="L218" i="72" s="1"/>
  <c r="G62" i="72"/>
  <c r="H63" i="72" s="1"/>
  <c r="E245" i="72"/>
  <c r="F245" i="72" s="1"/>
  <c r="G183" i="72"/>
  <c r="H184" i="72" s="1"/>
  <c r="I185" i="72" s="1"/>
  <c r="J186" i="72" s="1"/>
  <c r="K187" i="72" s="1"/>
  <c r="G153" i="72"/>
  <c r="H154" i="72" s="1"/>
  <c r="I155" i="72" s="1"/>
  <c r="J156" i="72" s="1"/>
  <c r="E88" i="72"/>
  <c r="F88" i="72" s="1"/>
  <c r="G124" i="72"/>
  <c r="H125" i="72" s="1"/>
  <c r="E124" i="72" l="1"/>
  <c r="F124" i="72" s="1"/>
  <c r="G125" i="72" s="1"/>
  <c r="E125" i="72" s="1"/>
  <c r="F125" i="72" s="1"/>
  <c r="E213" i="72"/>
  <c r="F213" i="72" s="1"/>
  <c r="G214" i="72" s="1"/>
  <c r="H215" i="72" s="1"/>
  <c r="I216" i="72" s="1"/>
  <c r="J217" i="72" s="1"/>
  <c r="K218" i="72" s="1"/>
  <c r="E62" i="72"/>
  <c r="F62" i="72" s="1"/>
  <c r="G63" i="72" s="1"/>
  <c r="E63" i="72" s="1"/>
  <c r="F63" i="72" s="1"/>
  <c r="AL63" i="72" s="1"/>
  <c r="E183" i="72"/>
  <c r="F183" i="72" s="1"/>
  <c r="G184" i="72" s="1"/>
  <c r="H185" i="72" s="1"/>
  <c r="I186" i="72" s="1"/>
  <c r="J187" i="72" s="1"/>
  <c r="E153" i="72"/>
  <c r="F153" i="72" s="1"/>
  <c r="E27" i="72"/>
  <c r="F27" i="72" s="1"/>
  <c r="G246" i="72"/>
  <c r="H247" i="72" s="1"/>
  <c r="I248" i="72" s="1"/>
  <c r="J249" i="72" s="1"/>
  <c r="G89" i="72"/>
  <c r="H90" i="72" s="1"/>
  <c r="I91" i="72" s="1"/>
  <c r="J92" i="72" s="1"/>
  <c r="K93" i="72" s="1"/>
  <c r="L94" i="72" s="1"/>
  <c r="E278" i="72"/>
  <c r="F278" i="72" s="1"/>
  <c r="AL125" i="72" l="1"/>
  <c r="G28" i="72"/>
  <c r="H29" i="72" s="1"/>
  <c r="I30" i="72" s="1"/>
  <c r="J31" i="72" s="1"/>
  <c r="K32" i="72" s="1"/>
  <c r="G154" i="72"/>
  <c r="H155" i="72" s="1"/>
  <c r="I156" i="72" s="1"/>
  <c r="E184" i="72"/>
  <c r="F184" i="72" s="1"/>
  <c r="G279" i="72"/>
  <c r="H280" i="72" s="1"/>
  <c r="E89" i="72"/>
  <c r="F89" i="72" s="1"/>
  <c r="E246" i="72"/>
  <c r="F246" i="72" s="1"/>
  <c r="E214" i="72"/>
  <c r="F214" i="72" s="1"/>
  <c r="E279" i="72" l="1"/>
  <c r="F279" i="72" s="1"/>
  <c r="G280" i="72" s="1"/>
  <c r="E280" i="72" s="1"/>
  <c r="F280" i="72" s="1"/>
  <c r="G185" i="72"/>
  <c r="H186" i="72" s="1"/>
  <c r="I187" i="72" s="1"/>
  <c r="E28" i="72"/>
  <c r="F28" i="72" s="1"/>
  <c r="G215" i="72"/>
  <c r="H216" i="72" s="1"/>
  <c r="I217" i="72" s="1"/>
  <c r="J218" i="72" s="1"/>
  <c r="G247" i="72"/>
  <c r="H248" i="72" s="1"/>
  <c r="I249" i="72" s="1"/>
  <c r="G90" i="72"/>
  <c r="H91" i="72" s="1"/>
  <c r="I92" i="72" s="1"/>
  <c r="J93" i="72" s="1"/>
  <c r="K94" i="72" s="1"/>
  <c r="E154" i="72"/>
  <c r="F154" i="72" s="1"/>
  <c r="E247" i="72" l="1"/>
  <c r="F247" i="72" s="1"/>
  <c r="G248" i="72" s="1"/>
  <c r="H249" i="72" s="1"/>
  <c r="E215" i="72"/>
  <c r="F215" i="72" s="1"/>
  <c r="G216" i="72" s="1"/>
  <c r="H217" i="72" s="1"/>
  <c r="I218" i="72" s="1"/>
  <c r="E185" i="72"/>
  <c r="F185" i="72" s="1"/>
  <c r="G186" i="72" s="1"/>
  <c r="H187" i="72" s="1"/>
  <c r="E90" i="72"/>
  <c r="F90" i="72" s="1"/>
  <c r="G91" i="72" s="1"/>
  <c r="H92" i="72" s="1"/>
  <c r="I93" i="72" s="1"/>
  <c r="J94" i="72" s="1"/>
  <c r="G155" i="72"/>
  <c r="H156" i="72" s="1"/>
  <c r="G29" i="72"/>
  <c r="H30" i="72" s="1"/>
  <c r="I31" i="72" s="1"/>
  <c r="J32" i="72" s="1"/>
  <c r="E248" i="72" l="1"/>
  <c r="F248" i="72" s="1"/>
  <c r="G249" i="72" s="1"/>
  <c r="E249" i="72" s="1"/>
  <c r="F249" i="72" s="1"/>
  <c r="E216" i="72"/>
  <c r="F216" i="72" s="1"/>
  <c r="G217" i="72" s="1"/>
  <c r="H218" i="72" s="1"/>
  <c r="E91" i="72"/>
  <c r="F91" i="72" s="1"/>
  <c r="E186" i="72"/>
  <c r="F186" i="72" s="1"/>
  <c r="G187" i="72" s="1"/>
  <c r="E187" i="72" s="1"/>
  <c r="F187" i="72" s="1"/>
  <c r="E29" i="72"/>
  <c r="F29" i="72" s="1"/>
  <c r="E155" i="72"/>
  <c r="F155" i="72" s="1"/>
  <c r="G156" i="72" s="1"/>
  <c r="E156" i="72" s="1"/>
  <c r="F156" i="72" s="1"/>
  <c r="E217" i="72" l="1"/>
  <c r="F217" i="72" s="1"/>
  <c r="G218" i="72" s="1"/>
  <c r="E218" i="72" s="1"/>
  <c r="F218" i="72" s="1"/>
  <c r="G30" i="72"/>
  <c r="H31" i="72" s="1"/>
  <c r="I32" i="72" s="1"/>
  <c r="G92" i="72"/>
  <c r="H93" i="72" s="1"/>
  <c r="I94" i="72" s="1"/>
  <c r="E30" i="72" l="1"/>
  <c r="F30" i="72" s="1"/>
  <c r="E92" i="72"/>
  <c r="F92" i="72" s="1"/>
  <c r="G93" i="72" l="1"/>
  <c r="H94" i="72" s="1"/>
  <c r="G31" i="72"/>
  <c r="H32" i="72" s="1"/>
  <c r="E31" i="72" l="1"/>
  <c r="F31" i="72" s="1"/>
  <c r="E93" i="72"/>
  <c r="F93" i="72" s="1"/>
  <c r="G94" i="72" s="1"/>
  <c r="E94" i="72" l="1"/>
  <c r="F94" i="72" s="1"/>
  <c r="AL94" i="72" s="1"/>
  <c r="AL127" i="72" s="1"/>
  <c r="G32" i="72"/>
  <c r="E32" i="72" s="1"/>
  <c r="F32" i="72" s="1"/>
  <c r="AL32" i="72" s="1"/>
  <c r="H40" i="26" l="1" a="1"/>
  <c r="H40" i="26" s="1"/>
  <c r="I224" i="35" s="1"/>
  <c r="G42" i="26" a="1"/>
  <c r="G42" i="26" s="1"/>
  <c r="H226" i="35" s="1"/>
  <c r="I93" i="58" s="1"/>
  <c r="E35" i="26" a="1"/>
  <c r="E35" i="26" s="1"/>
  <c r="G39" i="26" a="1"/>
  <c r="G39" i="26" s="1"/>
  <c r="H223" i="35" s="1"/>
  <c r="F25" i="26" a="1"/>
  <c r="F25" i="26" s="1"/>
  <c r="G209" i="35" s="1"/>
  <c r="H23" i="58" s="1"/>
  <c r="H23" i="41" s="1"/>
  <c r="F42" i="26" a="1"/>
  <c r="F42" i="26" s="1"/>
  <c r="G226" i="35" s="1"/>
  <c r="H93" i="58" s="1"/>
  <c r="H93" i="41" s="1"/>
  <c r="E34" i="26" a="1"/>
  <c r="E34" i="26" s="1"/>
  <c r="I197" i="35" s="1"/>
  <c r="E24" i="26" a="1"/>
  <c r="E24" i="26" s="1"/>
  <c r="I187" i="35" s="1"/>
  <c r="J20" i="37" s="1"/>
  <c r="D34" i="26" a="1"/>
  <c r="D34" i="26" s="1"/>
  <c r="H197" i="35" s="1"/>
  <c r="I62" i="37" s="1"/>
  <c r="E25" i="26" a="1"/>
  <c r="E25" i="26" s="1"/>
  <c r="I188" i="35" s="1"/>
  <c r="F28" i="26" a="1"/>
  <c r="F28" i="26" s="1"/>
  <c r="G212" i="35" s="1"/>
  <c r="H36" i="58" s="1"/>
  <c r="H36" i="41" s="1"/>
  <c r="F41" i="26" a="1"/>
  <c r="F41" i="26" s="1"/>
  <c r="G225" i="35" s="1"/>
  <c r="H89" i="58" s="1"/>
  <c r="H89" i="41" s="1"/>
  <c r="D32" i="26" a="1"/>
  <c r="D32" i="26" s="1"/>
  <c r="H195" i="35" s="1"/>
  <c r="I54" i="37" s="1"/>
  <c r="G37" i="26" a="1"/>
  <c r="G37" i="26" s="1"/>
  <c r="H221" i="35" s="1"/>
  <c r="I72" i="58" s="1"/>
  <c r="D42" i="26" a="1"/>
  <c r="D42" i="26" s="1"/>
  <c r="H205" i="35" s="1"/>
  <c r="E32" i="26" a="1"/>
  <c r="E32" i="26" s="1"/>
  <c r="I195" i="35" s="1"/>
  <c r="J53" i="37" s="1"/>
  <c r="F38" i="26" a="1"/>
  <c r="F38" i="26" s="1"/>
  <c r="G222" i="35" s="1"/>
  <c r="H76" i="58" s="1"/>
  <c r="H76" i="41" s="1"/>
  <c r="G26" i="26" a="1"/>
  <c r="G26" i="26" s="1"/>
  <c r="H210" i="35" s="1"/>
  <c r="H38" i="26" a="1"/>
  <c r="H38" i="26" s="1"/>
  <c r="I222" i="35" s="1"/>
  <c r="J75" i="58" s="1"/>
  <c r="G40" i="26" a="1"/>
  <c r="G40" i="26" s="1"/>
  <c r="H224" i="35" s="1"/>
  <c r="I85" i="58" s="1"/>
  <c r="H29" i="26" a="1"/>
  <c r="H29" i="26" s="1"/>
  <c r="I213" i="35" s="1"/>
  <c r="J39" i="58" s="1"/>
  <c r="D26" i="26" a="1"/>
  <c r="D26" i="26" s="1"/>
  <c r="H189" i="35" s="1"/>
  <c r="I30" i="37" s="1"/>
  <c r="E23" i="26" a="1"/>
  <c r="E23" i="26" s="1"/>
  <c r="H23" i="26" a="1"/>
  <c r="H23" i="26" s="1"/>
  <c r="I207" i="35" s="1"/>
  <c r="D27" i="26" a="1"/>
  <c r="D27" i="26" s="1"/>
  <c r="H190" i="35" s="1"/>
  <c r="E30" i="26" a="1"/>
  <c r="E30" i="26" s="1"/>
  <c r="I193" i="35" s="1"/>
  <c r="J44" i="37" s="1"/>
  <c r="F40" i="26" a="1"/>
  <c r="F40" i="26" s="1"/>
  <c r="G224" i="35" s="1"/>
  <c r="H84" i="58" s="1"/>
  <c r="H84" i="41" s="1"/>
  <c r="G33" i="26" a="1"/>
  <c r="G33" i="26" s="1"/>
  <c r="H217" i="35" s="1"/>
  <c r="I58" i="58" s="1"/>
  <c r="F34" i="26" a="1"/>
  <c r="F34" i="26" s="1"/>
  <c r="G218" i="35" s="1"/>
  <c r="H62" i="58" s="1"/>
  <c r="H62" i="41" s="1"/>
  <c r="E29" i="26" a="1"/>
  <c r="E29" i="26" s="1"/>
  <c r="I192" i="35" s="1"/>
  <c r="J42" i="37" s="1"/>
  <c r="H37" i="26" a="1"/>
  <c r="H37" i="26" s="1"/>
  <c r="I221" i="35" s="1"/>
  <c r="J74" i="58" s="1"/>
  <c r="G34" i="26" a="1"/>
  <c r="G34" i="26" s="1"/>
  <c r="H218" i="35" s="1"/>
  <c r="I60" i="58" s="1"/>
  <c r="D37" i="26" a="1"/>
  <c r="D37" i="26" s="1"/>
  <c r="H200" i="35" s="1"/>
  <c r="I71" i="37" s="1"/>
  <c r="D25" i="26" a="1"/>
  <c r="D25" i="26" s="1"/>
  <c r="H188" i="35" s="1"/>
  <c r="I26" i="37" s="1"/>
  <c r="G28" i="26" a="1"/>
  <c r="G28" i="26" s="1"/>
  <c r="H212" i="35" s="1"/>
  <c r="I35" i="58" s="1"/>
  <c r="D29" i="26" a="1"/>
  <c r="D29" i="26" s="1"/>
  <c r="H192" i="35" s="1"/>
  <c r="I39" i="37" s="1"/>
  <c r="E39" i="26" a="1"/>
  <c r="E39" i="26" s="1"/>
  <c r="I202" i="35" s="1"/>
  <c r="D33" i="26" a="1"/>
  <c r="D33" i="26" s="1"/>
  <c r="H196" i="35" s="1"/>
  <c r="I55" i="37" s="1"/>
  <c r="G23" i="26" a="1"/>
  <c r="G23" i="26" s="1"/>
  <c r="H207" i="35" s="1"/>
  <c r="E27" i="26" a="1"/>
  <c r="E27" i="26" s="1"/>
  <c r="I190" i="35" s="1"/>
  <c r="F36" i="26" a="1"/>
  <c r="F36" i="26" s="1"/>
  <c r="G220" i="35" s="1"/>
  <c r="H69" i="58" s="1"/>
  <c r="H69" i="41" s="1"/>
  <c r="H39" i="26" a="1"/>
  <c r="H39" i="26" s="1"/>
  <c r="I223" i="35" s="1"/>
  <c r="D30" i="26" a="1"/>
  <c r="D30" i="26" s="1"/>
  <c r="H193" i="35" s="1"/>
  <c r="I44" i="37" s="1"/>
  <c r="F29" i="26" a="1"/>
  <c r="F29" i="26" s="1"/>
  <c r="G213" i="35" s="1"/>
  <c r="H42" i="58" s="1"/>
  <c r="H42" i="41" s="1"/>
  <c r="F31" i="26" a="1"/>
  <c r="F31" i="26" s="1"/>
  <c r="G215" i="35" s="1"/>
  <c r="F39" i="26" a="1"/>
  <c r="F39" i="26" s="1"/>
  <c r="G223" i="35" s="1"/>
  <c r="H30" i="26" a="1"/>
  <c r="H30" i="26" s="1"/>
  <c r="I214" i="35" s="1"/>
  <c r="J45" i="58" s="1"/>
  <c r="H32" i="26" a="1"/>
  <c r="H32" i="26" s="1"/>
  <c r="I216" i="35" s="1"/>
  <c r="J51" i="58" s="1"/>
  <c r="H24" i="26" a="1"/>
  <c r="H24" i="26" s="1"/>
  <c r="I208" i="35" s="1"/>
  <c r="J20" i="58" s="1"/>
  <c r="G24" i="26" a="1"/>
  <c r="G24" i="26" s="1"/>
  <c r="H208" i="35" s="1"/>
  <c r="I22" i="58" s="1"/>
  <c r="F26" i="26" a="1"/>
  <c r="F26" i="26" s="1"/>
  <c r="G210" i="35" s="1"/>
  <c r="H30" i="58" s="1"/>
  <c r="H30" i="41" s="1"/>
  <c r="F30" i="26" a="1"/>
  <c r="F30" i="26" s="1"/>
  <c r="G214" i="35" s="1"/>
  <c r="H45" i="58" s="1"/>
  <c r="H45" i="41" s="1"/>
  <c r="G35" i="26" a="1"/>
  <c r="G35" i="26" s="1"/>
  <c r="H219" i="35" s="1"/>
  <c r="F24" i="26" a="1"/>
  <c r="F24" i="26" s="1"/>
  <c r="G208" i="35" s="1"/>
  <c r="H19" i="58" s="1"/>
  <c r="H19" i="41" s="1"/>
  <c r="F27" i="26" a="1"/>
  <c r="F27" i="26" s="1"/>
  <c r="G211" i="35" s="1"/>
  <c r="G29" i="26" a="1"/>
  <c r="G29" i="26" s="1"/>
  <c r="H213" i="35" s="1"/>
  <c r="I40" i="58" s="1"/>
  <c r="E41" i="26" a="1"/>
  <c r="E41" i="26" s="1"/>
  <c r="I204" i="35" s="1"/>
  <c r="J88" i="37" s="1"/>
  <c r="H25" i="26" a="1"/>
  <c r="H25" i="26" s="1"/>
  <c r="I209" i="35" s="1"/>
  <c r="J24" i="58" s="1"/>
  <c r="H34" i="26" a="1"/>
  <c r="H34" i="26" s="1"/>
  <c r="I218" i="35" s="1"/>
  <c r="J59" i="58" s="1"/>
  <c r="F33" i="26" a="1"/>
  <c r="F33" i="26" s="1"/>
  <c r="G217" i="35" s="1"/>
  <c r="H57" i="58" s="1"/>
  <c r="H57" i="41" s="1"/>
  <c r="E42" i="26" a="1"/>
  <c r="E42" i="26" s="1"/>
  <c r="I205" i="35" s="1"/>
  <c r="J91" i="37" s="1"/>
  <c r="D36" i="26" a="1"/>
  <c r="D36" i="26" s="1"/>
  <c r="H199" i="35" s="1"/>
  <c r="I70" i="37" s="1"/>
  <c r="D38" i="26" a="1"/>
  <c r="D38" i="26" s="1"/>
  <c r="H201" i="35" s="1"/>
  <c r="I77" i="37" s="1"/>
  <c r="D24" i="26" a="1"/>
  <c r="D24" i="26" s="1"/>
  <c r="H187" i="35" s="1"/>
  <c r="I21" i="37" s="1"/>
  <c r="G30" i="26" a="1"/>
  <c r="G30" i="26" s="1"/>
  <c r="H214" i="35" s="1"/>
  <c r="I45" i="58" s="1"/>
  <c r="H31" i="26" a="1"/>
  <c r="H31" i="26" s="1"/>
  <c r="I215" i="35" s="1"/>
  <c r="D39" i="26" a="1"/>
  <c r="D39" i="26" s="1"/>
  <c r="H202" i="35" s="1"/>
  <c r="D23" i="26" a="1"/>
  <c r="D23" i="26" s="1"/>
  <c r="H186" i="35" s="1"/>
  <c r="G36" i="26" a="1"/>
  <c r="G36" i="26" s="1"/>
  <c r="H220" i="35" s="1"/>
  <c r="I70" i="58" s="1"/>
  <c r="H26" i="26" a="1"/>
  <c r="H26" i="26" s="1"/>
  <c r="I210" i="35" s="1"/>
  <c r="J27" i="58" s="1"/>
  <c r="D35" i="26" a="1"/>
  <c r="D35" i="26" s="1"/>
  <c r="H198" i="35" s="1"/>
  <c r="F35" i="26" a="1"/>
  <c r="F35" i="26" s="1"/>
  <c r="G219" i="35" s="1"/>
  <c r="E38" i="26" a="1"/>
  <c r="E38" i="26" s="1"/>
  <c r="I201" i="35" s="1"/>
  <c r="J75" i="37" s="1"/>
  <c r="G31" i="26" a="1"/>
  <c r="G31" i="26" s="1"/>
  <c r="H215" i="35" s="1"/>
  <c r="E26" i="26" a="1"/>
  <c r="E26" i="26" s="1"/>
  <c r="I189" i="35" s="1"/>
  <c r="J28" i="37" s="1"/>
  <c r="H33" i="26" a="1"/>
  <c r="H33" i="26" s="1"/>
  <c r="I217" i="35" s="1"/>
  <c r="J58" i="58" s="1"/>
  <c r="H35" i="26" a="1"/>
  <c r="H35" i="26" s="1"/>
  <c r="I219" i="35" s="1"/>
  <c r="F23" i="26" a="1"/>
  <c r="F23" i="26" s="1"/>
  <c r="G207" i="35" s="1"/>
  <c r="E33" i="26" a="1"/>
  <c r="E33" i="26" s="1"/>
  <c r="I196" i="35" s="1"/>
  <c r="J58" i="37" s="1"/>
  <c r="G27" i="26" a="1"/>
  <c r="G27" i="26" s="1"/>
  <c r="H211" i="35" s="1"/>
  <c r="E36" i="26" a="1"/>
  <c r="E36" i="26" s="1"/>
  <c r="I199" i="35" s="1"/>
  <c r="J69" i="37" s="1"/>
  <c r="H28" i="26" a="1"/>
  <c r="H28" i="26" s="1"/>
  <c r="I212" i="35" s="1"/>
  <c r="J36" i="58" s="1"/>
  <c r="H36" i="26" a="1"/>
  <c r="H36" i="26" s="1"/>
  <c r="I220" i="35" s="1"/>
  <c r="J70" i="58" s="1"/>
  <c r="D41" i="26" a="1"/>
  <c r="D41" i="26" s="1"/>
  <c r="H204" i="35" s="1"/>
  <c r="I89" i="37" s="1"/>
  <c r="E40" i="26" a="1"/>
  <c r="E40" i="26" s="1"/>
  <c r="I203" i="35" s="1"/>
  <c r="J83" i="37" s="1"/>
  <c r="G41" i="26" a="1"/>
  <c r="G41" i="26" s="1"/>
  <c r="H225" i="35" s="1"/>
  <c r="I87" i="58" s="1"/>
  <c r="E28" i="26" a="1"/>
  <c r="E28" i="26" s="1"/>
  <c r="I191" i="35" s="1"/>
  <c r="J38" i="37" s="1"/>
  <c r="G25" i="26" a="1"/>
  <c r="G25" i="26" s="1"/>
  <c r="H209" i="35" s="1"/>
  <c r="I23" i="58" s="1"/>
  <c r="E37" i="26" a="1"/>
  <c r="E37" i="26" s="1"/>
  <c r="I200" i="35" s="1"/>
  <c r="J73" i="37" s="1"/>
  <c r="E31" i="26" a="1"/>
  <c r="E31" i="26" s="1"/>
  <c r="I194" i="35" s="1"/>
  <c r="D28" i="26" a="1"/>
  <c r="D28" i="26" s="1"/>
  <c r="H191" i="35" s="1"/>
  <c r="I38" i="37" s="1"/>
  <c r="H41" i="26" a="1"/>
  <c r="H41" i="26" s="1"/>
  <c r="I225" i="35" s="1"/>
  <c r="J90" i="58" s="1"/>
  <c r="H42" i="26" a="1"/>
  <c r="H42" i="26" s="1"/>
  <c r="I226" i="35" s="1"/>
  <c r="J94" i="58" s="1"/>
  <c r="H27" i="26" a="1"/>
  <c r="H27" i="26" s="1"/>
  <c r="I211" i="35" s="1"/>
  <c r="D40" i="26" a="1"/>
  <c r="D40" i="26" s="1"/>
  <c r="H203" i="35" s="1"/>
  <c r="I83" i="37" s="1"/>
  <c r="G32" i="26" a="1"/>
  <c r="G32" i="26" s="1"/>
  <c r="H216" i="35" s="1"/>
  <c r="I51" i="58" s="1"/>
  <c r="F32" i="26" a="1"/>
  <c r="F32" i="26" s="1"/>
  <c r="G216" i="35" s="1"/>
  <c r="H51" i="58" s="1"/>
  <c r="H51" i="41" s="1"/>
  <c r="F37" i="26" a="1"/>
  <c r="F37" i="26" s="1"/>
  <c r="G221" i="35" s="1"/>
  <c r="H71" i="58" s="1"/>
  <c r="H71" i="41" s="1"/>
  <c r="G38" i="26" a="1"/>
  <c r="G38" i="26" s="1"/>
  <c r="H222" i="35" s="1"/>
  <c r="I78" i="58" s="1"/>
  <c r="D31" i="26" a="1"/>
  <c r="D31" i="26" s="1"/>
  <c r="H194" i="35" s="1"/>
  <c r="J83" i="58"/>
  <c r="J85" i="58"/>
  <c r="J84" i="58"/>
  <c r="J86" i="58"/>
  <c r="J60" i="37"/>
  <c r="J59" i="37"/>
  <c r="J61" i="37"/>
  <c r="J62" i="37"/>
  <c r="I91" i="58"/>
  <c r="J23" i="37"/>
  <c r="J24" i="37"/>
  <c r="J26" i="37"/>
  <c r="J25" i="37"/>
  <c r="H88" i="58"/>
  <c r="H88" i="41" s="1"/>
  <c r="H87" i="58"/>
  <c r="H87" i="41" s="1"/>
  <c r="I92" i="37"/>
  <c r="I91" i="37"/>
  <c r="I94" i="37"/>
  <c r="I93" i="37"/>
  <c r="J54" i="37"/>
  <c r="I198" i="35"/>
  <c r="I186" i="35"/>
  <c r="J46" i="37"/>
  <c r="I72" i="37"/>
  <c r="I74" i="37"/>
  <c r="I73" i="37"/>
  <c r="I27" i="58"/>
  <c r="I28" i="58"/>
  <c r="I29" i="58"/>
  <c r="I30" i="58"/>
  <c r="J44" i="58"/>
  <c r="J43" i="58"/>
  <c r="I36" i="58" l="1"/>
  <c r="H20" i="58"/>
  <c r="H20" i="41" s="1"/>
  <c r="J40" i="37"/>
  <c r="H22" i="58"/>
  <c r="H22" i="41" s="1"/>
  <c r="I58" i="37"/>
  <c r="I56" i="37"/>
  <c r="J41" i="37"/>
  <c r="I57" i="37"/>
  <c r="J28" i="58"/>
  <c r="J28" i="41" s="1"/>
  <c r="J39" i="37"/>
  <c r="J29" i="58"/>
  <c r="J19" i="37"/>
  <c r="J21" i="37"/>
  <c r="J35" i="58"/>
  <c r="J22" i="37"/>
  <c r="J38" i="58"/>
  <c r="J38" i="41" s="1"/>
  <c r="I22" i="37"/>
  <c r="I22" i="41" s="1"/>
  <c r="I94" i="58"/>
  <c r="I92" i="58"/>
  <c r="I92" i="41" s="1"/>
  <c r="H21" i="58"/>
  <c r="H21" i="41" s="1"/>
  <c r="H56" i="58"/>
  <c r="H56" i="41" s="1"/>
  <c r="J71" i="58"/>
  <c r="J52" i="37"/>
  <c r="H55" i="58"/>
  <c r="H55" i="41" s="1"/>
  <c r="J73" i="58"/>
  <c r="J73" i="41" s="1"/>
  <c r="J51" i="37"/>
  <c r="J51" i="41" s="1"/>
  <c r="H58" i="58"/>
  <c r="H58" i="41" s="1"/>
  <c r="J46" i="58"/>
  <c r="J46" i="41" s="1"/>
  <c r="J72" i="58"/>
  <c r="I21" i="58"/>
  <c r="I21" i="41" s="1"/>
  <c r="I46" i="37"/>
  <c r="I37" i="58"/>
  <c r="I84" i="58"/>
  <c r="J26" i="58"/>
  <c r="J26" i="41" s="1"/>
  <c r="I19" i="58"/>
  <c r="I38" i="58"/>
  <c r="I38" i="41" s="1"/>
  <c r="I83" i="58"/>
  <c r="I83" i="41" s="1"/>
  <c r="I86" i="58"/>
  <c r="J25" i="58"/>
  <c r="J25" i="41" s="1"/>
  <c r="H90" i="58"/>
  <c r="H90" i="41" s="1"/>
  <c r="I43" i="37"/>
  <c r="I19" i="37"/>
  <c r="J56" i="58"/>
  <c r="J57" i="58"/>
  <c r="J55" i="58"/>
  <c r="I87" i="37"/>
  <c r="I87" i="41" s="1"/>
  <c r="I90" i="37"/>
  <c r="I41" i="37"/>
  <c r="J42" i="58"/>
  <c r="J42" i="41" s="1"/>
  <c r="H25" i="58"/>
  <c r="H25" i="41" s="1"/>
  <c r="H28" i="58"/>
  <c r="H28" i="41" s="1"/>
  <c r="H24" i="58"/>
  <c r="H24" i="41" s="1"/>
  <c r="H26" i="58"/>
  <c r="H26" i="41" s="1"/>
  <c r="I57" i="58"/>
  <c r="H59" i="58"/>
  <c r="H59" i="41" s="1"/>
  <c r="I28" i="37"/>
  <c r="I28" i="41" s="1"/>
  <c r="J35" i="37"/>
  <c r="I74" i="58"/>
  <c r="J85" i="37"/>
  <c r="J85" i="41" s="1"/>
  <c r="H43" i="58"/>
  <c r="H43" i="41" s="1"/>
  <c r="H44" i="58"/>
  <c r="H44" i="41" s="1"/>
  <c r="H61" i="58"/>
  <c r="H61" i="41" s="1"/>
  <c r="I29" i="37"/>
  <c r="I29" i="41" s="1"/>
  <c r="I71" i="58"/>
  <c r="I71" i="41" s="1"/>
  <c r="I27" i="37"/>
  <c r="I27" i="41" s="1"/>
  <c r="H94" i="58"/>
  <c r="H94" i="41" s="1"/>
  <c r="H92" i="58"/>
  <c r="H92" i="41" s="1"/>
  <c r="E54" i="26"/>
  <c r="H54" i="26" s="1"/>
  <c r="H91" i="58"/>
  <c r="H91" i="41" s="1"/>
  <c r="H46" i="58"/>
  <c r="H46" i="41" s="1"/>
  <c r="H60" i="58"/>
  <c r="H60" i="41" s="1"/>
  <c r="I73" i="58"/>
  <c r="I73" i="41" s="1"/>
  <c r="J62" i="58"/>
  <c r="J62" i="41" s="1"/>
  <c r="J27" i="37"/>
  <c r="J27" i="41" s="1"/>
  <c r="J29" i="37"/>
  <c r="J29" i="41" s="1"/>
  <c r="J60" i="58"/>
  <c r="J60" i="41" s="1"/>
  <c r="J30" i="37"/>
  <c r="J61" i="58"/>
  <c r="J61" i="41" s="1"/>
  <c r="D50" i="26"/>
  <c r="J37" i="58"/>
  <c r="I20" i="58"/>
  <c r="J23" i="58"/>
  <c r="J23" i="41" s="1"/>
  <c r="I25" i="58"/>
  <c r="I20" i="37"/>
  <c r="I45" i="37"/>
  <c r="I45" i="41" s="1"/>
  <c r="J86" i="37"/>
  <c r="J86" i="41" s="1"/>
  <c r="I44" i="58"/>
  <c r="I44" i="41" s="1"/>
  <c r="J56" i="37"/>
  <c r="J77" i="37"/>
  <c r="H41" i="58"/>
  <c r="H41" i="41" s="1"/>
  <c r="I52" i="37"/>
  <c r="H29" i="58"/>
  <c r="H29" i="41" s="1"/>
  <c r="H39" i="58"/>
  <c r="H39" i="41" s="1"/>
  <c r="J57" i="37"/>
  <c r="I42" i="37"/>
  <c r="E50" i="26"/>
  <c r="H50" i="26" s="1"/>
  <c r="I53" i="37"/>
  <c r="I43" i="58"/>
  <c r="I55" i="58"/>
  <c r="I55" i="41" s="1"/>
  <c r="I46" i="58"/>
  <c r="I56" i="58"/>
  <c r="H40" i="58"/>
  <c r="H40" i="41" s="1"/>
  <c r="I40" i="37"/>
  <c r="I40" i="41" s="1"/>
  <c r="J76" i="37"/>
  <c r="H27" i="58"/>
  <c r="H27" i="41" s="1"/>
  <c r="J55" i="37"/>
  <c r="I51" i="37"/>
  <c r="I51" i="41" s="1"/>
  <c r="J41" i="58"/>
  <c r="J68" i="37"/>
  <c r="J40" i="58"/>
  <c r="J40" i="41" s="1"/>
  <c r="J78" i="37"/>
  <c r="J67" i="37"/>
  <c r="F51" i="26"/>
  <c r="J70" i="37"/>
  <c r="J70" i="41" s="1"/>
  <c r="J37" i="37"/>
  <c r="J72" i="37"/>
  <c r="D51" i="26"/>
  <c r="J36" i="37"/>
  <c r="J36" i="41" s="1"/>
  <c r="J84" i="37"/>
  <c r="J84" i="41" s="1"/>
  <c r="F50" i="26"/>
  <c r="I68" i="58"/>
  <c r="H75" i="58"/>
  <c r="H75" i="41" s="1"/>
  <c r="I61" i="58"/>
  <c r="I24" i="58"/>
  <c r="G52" i="26"/>
  <c r="J92" i="37"/>
  <c r="J54" i="58"/>
  <c r="J54" i="41" s="1"/>
  <c r="J93" i="37"/>
  <c r="J74" i="37"/>
  <c r="J74" i="41" s="1"/>
  <c r="I69" i="58"/>
  <c r="I59" i="58"/>
  <c r="H77" i="58"/>
  <c r="H77" i="41" s="1"/>
  <c r="J52" i="58"/>
  <c r="I67" i="58"/>
  <c r="H78" i="58"/>
  <c r="H78" i="41" s="1"/>
  <c r="J53" i="58"/>
  <c r="J53" i="41" s="1"/>
  <c r="J94" i="37"/>
  <c r="J94" i="41" s="1"/>
  <c r="D53" i="26"/>
  <c r="H52" i="58"/>
  <c r="H52" i="41" s="1"/>
  <c r="I59" i="37"/>
  <c r="F54" i="26"/>
  <c r="I60" i="37"/>
  <c r="I60" i="41" s="1"/>
  <c r="J71" i="37"/>
  <c r="I62" i="58"/>
  <c r="I62" i="41" s="1"/>
  <c r="I61" i="37"/>
  <c r="I26" i="58"/>
  <c r="I26" i="41" s="1"/>
  <c r="J30" i="58"/>
  <c r="I75" i="37"/>
  <c r="D54" i="26"/>
  <c r="I76" i="37"/>
  <c r="J90" i="37"/>
  <c r="J90" i="41" s="1"/>
  <c r="J78" i="58"/>
  <c r="J21" i="58"/>
  <c r="J21" i="41" s="1"/>
  <c r="J89" i="37"/>
  <c r="J87" i="37"/>
  <c r="G50" i="26"/>
  <c r="J77" i="58"/>
  <c r="H86" i="58"/>
  <c r="H86" i="41" s="1"/>
  <c r="H67" i="58"/>
  <c r="H67" i="41" s="1"/>
  <c r="J88" i="58"/>
  <c r="J88" i="41" s="1"/>
  <c r="J76" i="58"/>
  <c r="J22" i="58"/>
  <c r="H35" i="58"/>
  <c r="H35" i="41" s="1"/>
  <c r="C53" i="26"/>
  <c r="I68" i="37"/>
  <c r="H83" i="58"/>
  <c r="H83" i="41" s="1"/>
  <c r="I41" i="58"/>
  <c r="H70" i="58"/>
  <c r="H70" i="41" s="1"/>
  <c r="I23" i="37"/>
  <c r="I23" i="41" s="1"/>
  <c r="J87" i="58"/>
  <c r="J45" i="37"/>
  <c r="J45" i="41" s="1"/>
  <c r="J19" i="58"/>
  <c r="J19" i="41" s="1"/>
  <c r="H37" i="58"/>
  <c r="H37" i="41" s="1"/>
  <c r="I78" i="37"/>
  <c r="I78" i="41" s="1"/>
  <c r="I67" i="37"/>
  <c r="I42" i="58"/>
  <c r="I25" i="37"/>
  <c r="I69" i="37"/>
  <c r="H85" i="58"/>
  <c r="H85" i="41" s="1"/>
  <c r="I39" i="58"/>
  <c r="I39" i="41" s="1"/>
  <c r="H68" i="58"/>
  <c r="H68" i="41" s="1"/>
  <c r="I24" i="37"/>
  <c r="J89" i="58"/>
  <c r="J43" i="37"/>
  <c r="J43" i="41" s="1"/>
  <c r="H38" i="58"/>
  <c r="H38" i="41" s="1"/>
  <c r="E51" i="26"/>
  <c r="H51" i="26" s="1"/>
  <c r="C50" i="26"/>
  <c r="H72" i="58"/>
  <c r="H72" i="41" s="1"/>
  <c r="J83" i="41"/>
  <c r="G53" i="26"/>
  <c r="I89" i="58"/>
  <c r="I89" i="41" s="1"/>
  <c r="J67" i="58"/>
  <c r="J68" i="58"/>
  <c r="J69" i="58"/>
  <c r="J69" i="41" s="1"/>
  <c r="I88" i="37"/>
  <c r="J91" i="58"/>
  <c r="J91" i="41" s="1"/>
  <c r="I90" i="58"/>
  <c r="G54" i="26"/>
  <c r="J92" i="58"/>
  <c r="I88" i="58"/>
  <c r="C52" i="26"/>
  <c r="J93" i="58"/>
  <c r="C51" i="26"/>
  <c r="I93" i="41"/>
  <c r="D52" i="26"/>
  <c r="I72" i="41"/>
  <c r="I94" i="41"/>
  <c r="I37" i="37"/>
  <c r="J75" i="41"/>
  <c r="H74" i="58"/>
  <c r="H74" i="41" s="1"/>
  <c r="I77" i="58"/>
  <c r="I77" i="41" s="1"/>
  <c r="G51" i="26"/>
  <c r="F53" i="26"/>
  <c r="I36" i="37"/>
  <c r="E53" i="26"/>
  <c r="H53" i="26" s="1"/>
  <c r="I75" i="58"/>
  <c r="I35" i="37"/>
  <c r="I35" i="41" s="1"/>
  <c r="C54" i="26"/>
  <c r="H53" i="58"/>
  <c r="H53" i="41" s="1"/>
  <c r="J39" i="41"/>
  <c r="I54" i="58"/>
  <c r="I54" i="41" s="1"/>
  <c r="H73" i="58"/>
  <c r="H73" i="41" s="1"/>
  <c r="H54" i="58"/>
  <c r="H54" i="41" s="1"/>
  <c r="E52" i="26"/>
  <c r="H52" i="26" s="1"/>
  <c r="I84" i="37"/>
  <c r="I53" i="58"/>
  <c r="I76" i="58"/>
  <c r="F52" i="26"/>
  <c r="I86" i="37"/>
  <c r="I85" i="37"/>
  <c r="I85" i="41" s="1"/>
  <c r="I52" i="58"/>
  <c r="J59" i="41"/>
  <c r="I91" i="41"/>
  <c r="J79" i="37"/>
  <c r="J80" i="37"/>
  <c r="J82" i="37"/>
  <c r="J81" i="37"/>
  <c r="J79" i="58"/>
  <c r="J80" i="58"/>
  <c r="J82" i="58"/>
  <c r="J81" i="58"/>
  <c r="I16" i="58"/>
  <c r="I18" i="58"/>
  <c r="I15" i="58"/>
  <c r="I17" i="58"/>
  <c r="I32" i="37"/>
  <c r="I33" i="37"/>
  <c r="I34" i="37"/>
  <c r="I31" i="37"/>
  <c r="I74" i="41"/>
  <c r="J24" i="41"/>
  <c r="J20" i="41"/>
  <c r="I48" i="37"/>
  <c r="I47" i="37"/>
  <c r="I50" i="37"/>
  <c r="I49" i="37"/>
  <c r="I82" i="37"/>
  <c r="I79" i="37"/>
  <c r="I81" i="37"/>
  <c r="I80" i="37"/>
  <c r="J34" i="58"/>
  <c r="J32" i="58"/>
  <c r="J31" i="58"/>
  <c r="J33" i="58"/>
  <c r="I66" i="58"/>
  <c r="I64" i="58"/>
  <c r="I65" i="58"/>
  <c r="I63" i="58"/>
  <c r="H18" i="58"/>
  <c r="H18" i="41" s="1"/>
  <c r="H16" i="58"/>
  <c r="H17" i="58"/>
  <c r="H15" i="58"/>
  <c r="J18" i="58"/>
  <c r="J16" i="58"/>
  <c r="J15" i="58"/>
  <c r="J17" i="58"/>
  <c r="J65" i="37"/>
  <c r="J63" i="37"/>
  <c r="J64" i="37"/>
  <c r="J66" i="37"/>
  <c r="H80" i="58"/>
  <c r="H80" i="41" s="1"/>
  <c r="H79" i="58"/>
  <c r="H79" i="41" s="1"/>
  <c r="H81" i="58"/>
  <c r="H81" i="41" s="1"/>
  <c r="H82" i="58"/>
  <c r="H82" i="41" s="1"/>
  <c r="J58" i="41"/>
  <c r="J63" i="58"/>
  <c r="J65" i="58"/>
  <c r="J66" i="58"/>
  <c r="J64" i="58"/>
  <c r="H66" i="58"/>
  <c r="H66" i="41" s="1"/>
  <c r="H64" i="58"/>
  <c r="H64" i="41" s="1"/>
  <c r="H65" i="58"/>
  <c r="H65" i="41" s="1"/>
  <c r="H63" i="58"/>
  <c r="H63" i="41" s="1"/>
  <c r="J50" i="58"/>
  <c r="J49" i="58"/>
  <c r="J47" i="58"/>
  <c r="J48" i="58"/>
  <c r="I70" i="41"/>
  <c r="H32" i="58"/>
  <c r="H32" i="41" s="1"/>
  <c r="H31" i="58"/>
  <c r="H31" i="41" s="1"/>
  <c r="H34" i="58"/>
  <c r="H34" i="41" s="1"/>
  <c r="H33" i="58"/>
  <c r="H33" i="41" s="1"/>
  <c r="I18" i="37"/>
  <c r="I17" i="37"/>
  <c r="I16" i="37"/>
  <c r="I15" i="37"/>
  <c r="J17" i="37"/>
  <c r="J15" i="37"/>
  <c r="J18" i="37"/>
  <c r="J16" i="37"/>
  <c r="J50" i="37"/>
  <c r="J47" i="37"/>
  <c r="J48" i="37"/>
  <c r="J49" i="37"/>
  <c r="I48" i="58"/>
  <c r="I47" i="58"/>
  <c r="I50" i="58"/>
  <c r="I49" i="58"/>
  <c r="J44" i="41"/>
  <c r="I30" i="41"/>
  <c r="I58" i="41"/>
  <c r="I66" i="37"/>
  <c r="I64" i="37"/>
  <c r="I65" i="37"/>
  <c r="I63" i="37"/>
  <c r="I34" i="58"/>
  <c r="I32" i="58"/>
  <c r="I31" i="58"/>
  <c r="I33" i="58"/>
  <c r="H50" i="58"/>
  <c r="H50" i="41" s="1"/>
  <c r="H49" i="58"/>
  <c r="H49" i="41" s="1"/>
  <c r="H47" i="58"/>
  <c r="H47" i="41" s="1"/>
  <c r="H48" i="58"/>
  <c r="H48" i="41" s="1"/>
  <c r="J32" i="37"/>
  <c r="J31" i="37"/>
  <c r="J33" i="37"/>
  <c r="J34" i="37"/>
  <c r="I82" i="58"/>
  <c r="I79" i="58"/>
  <c r="I81" i="58"/>
  <c r="I80" i="58"/>
  <c r="I36" i="41" l="1"/>
  <c r="I86" i="41"/>
  <c r="I42" i="41"/>
  <c r="J41" i="41"/>
  <c r="J22" i="41"/>
  <c r="J55" i="41"/>
  <c r="J72" i="41"/>
  <c r="J71" i="41"/>
  <c r="I56" i="41"/>
  <c r="J35" i="41"/>
  <c r="I57" i="41"/>
  <c r="J52" i="41"/>
  <c r="I37" i="41"/>
  <c r="I46" i="41"/>
  <c r="I19" i="41"/>
  <c r="I84" i="41"/>
  <c r="I43" i="41"/>
  <c r="I90" i="41"/>
  <c r="I53" i="41"/>
  <c r="I68" i="41"/>
  <c r="J77" i="41"/>
  <c r="I20" i="41"/>
  <c r="J30" i="41"/>
  <c r="J51" i="26"/>
  <c r="I41" i="41"/>
  <c r="J68" i="41"/>
  <c r="J57" i="41"/>
  <c r="J56" i="41"/>
  <c r="J50" i="26"/>
  <c r="I51" i="26"/>
  <c r="I75" i="41"/>
  <c r="J87" i="41"/>
  <c r="J93" i="41"/>
  <c r="I67" i="41"/>
  <c r="J54" i="26"/>
  <c r="J31" i="41"/>
  <c r="J52" i="26"/>
  <c r="I76" i="41"/>
  <c r="I25" i="41"/>
  <c r="J37" i="41"/>
  <c r="I52" i="41"/>
  <c r="I53" i="26"/>
  <c r="J89" i="41"/>
  <c r="J76" i="41"/>
  <c r="I54" i="26"/>
  <c r="J92" i="41"/>
  <c r="J67" i="41"/>
  <c r="I50" i="26"/>
  <c r="J78" i="41"/>
  <c r="I61" i="41"/>
  <c r="J53" i="26"/>
  <c r="I69" i="41"/>
  <c r="I24" i="41"/>
  <c r="I59" i="41"/>
  <c r="I88" i="41"/>
  <c r="J34" i="41"/>
  <c r="J18" i="41"/>
  <c r="I52" i="26"/>
  <c r="I66" i="41"/>
  <c r="J49" i="41"/>
  <c r="J82" i="41"/>
  <c r="I65" i="41"/>
  <c r="J47" i="41"/>
  <c r="I64" i="41"/>
  <c r="I63" i="41"/>
  <c r="J33" i="41"/>
  <c r="J423" i="58"/>
  <c r="E347" i="38" s="1"/>
  <c r="M290" i="66" s="1"/>
  <c r="I18" i="41"/>
  <c r="C58" i="63"/>
  <c r="J32" i="41"/>
  <c r="J80" i="41"/>
  <c r="I16" i="41"/>
  <c r="J48" i="41"/>
  <c r="J64" i="41"/>
  <c r="H17" i="41"/>
  <c r="C38" i="63"/>
  <c r="I80" i="41"/>
  <c r="J15" i="41"/>
  <c r="J423" i="37"/>
  <c r="J424" i="37"/>
  <c r="F145" i="66" s="1"/>
  <c r="C18" i="63"/>
  <c r="I17" i="41"/>
  <c r="J63" i="41"/>
  <c r="H16" i="41"/>
  <c r="I81" i="41"/>
  <c r="C48" i="63"/>
  <c r="J17" i="41"/>
  <c r="C28" i="63"/>
  <c r="J65" i="41"/>
  <c r="I79" i="41"/>
  <c r="I423" i="58"/>
  <c r="I424" i="58"/>
  <c r="F241" i="66" s="1"/>
  <c r="J81" i="41"/>
  <c r="J50" i="41"/>
  <c r="I82" i="41"/>
  <c r="J424" i="58"/>
  <c r="E35" i="53" s="1"/>
  <c r="F35" i="53" s="1"/>
  <c r="H29" i="53" s="1"/>
  <c r="I49" i="41"/>
  <c r="I31" i="41"/>
  <c r="I50" i="41"/>
  <c r="I34" i="41"/>
  <c r="J79" i="41"/>
  <c r="I47" i="41"/>
  <c r="I33" i="41"/>
  <c r="J16" i="41"/>
  <c r="I424" i="37"/>
  <c r="E17" i="53" s="1"/>
  <c r="F17" i="53" s="1"/>
  <c r="I423" i="37"/>
  <c r="I15" i="41"/>
  <c r="J66" i="41"/>
  <c r="H15" i="41"/>
  <c r="H423" i="58"/>
  <c r="H424" i="58"/>
  <c r="H424" i="41" s="1"/>
  <c r="I48" i="41"/>
  <c r="I32" i="41"/>
  <c r="F290" i="66" l="1"/>
  <c r="N290" i="66" s="1"/>
  <c r="F289" i="66"/>
  <c r="E29" i="53"/>
  <c r="F29" i="53" s="1"/>
  <c r="G29" i="53" s="1"/>
  <c r="E329" i="38" s="1"/>
  <c r="E23" i="53"/>
  <c r="F23" i="53" s="1"/>
  <c r="H17" i="53" s="1"/>
  <c r="G17" i="53" s="1"/>
  <c r="E305" i="38" s="1"/>
  <c r="H23" i="53"/>
  <c r="E299" i="38"/>
  <c r="M194" i="66" s="1"/>
  <c r="F194" i="66"/>
  <c r="H423" i="41"/>
  <c r="H425" i="58"/>
  <c r="E323" i="38"/>
  <c r="M242" i="66" s="1"/>
  <c r="F242" i="66"/>
  <c r="I425" i="58"/>
  <c r="E11" i="53"/>
  <c r="F11" i="53" s="1"/>
  <c r="F193" i="66"/>
  <c r="J424" i="41"/>
  <c r="F97" i="66"/>
  <c r="I423" i="41"/>
  <c r="E311" i="38"/>
  <c r="M98" i="66" s="1"/>
  <c r="I425" i="37"/>
  <c r="F98" i="66"/>
  <c r="J423" i="41"/>
  <c r="J425" i="37"/>
  <c r="F146" i="66"/>
  <c r="E335" i="38"/>
  <c r="M146" i="66" s="1"/>
  <c r="I424" i="41"/>
  <c r="J425" i="58"/>
  <c r="G23" i="53" l="1"/>
  <c r="E317" i="38" s="1"/>
  <c r="L241" i="66" s="1"/>
  <c r="H35" i="53"/>
  <c r="G35" i="53" s="1"/>
  <c r="E341" i="38" s="1"/>
  <c r="J484" i="58" s="1"/>
  <c r="H5" i="53"/>
  <c r="G5" i="53" s="1"/>
  <c r="E281" i="38" s="1"/>
  <c r="G11" i="53"/>
  <c r="E293" i="38" s="1"/>
  <c r="N98" i="66"/>
  <c r="C49" i="63"/>
  <c r="C42" i="63"/>
  <c r="I425" i="41"/>
  <c r="N3" i="41" s="1"/>
  <c r="C19" i="63"/>
  <c r="C12" i="63"/>
  <c r="N242" i="66"/>
  <c r="C59" i="63"/>
  <c r="C52" i="63"/>
  <c r="C32" i="63"/>
  <c r="C39" i="63"/>
  <c r="H425" i="41"/>
  <c r="M3" i="41" s="1"/>
  <c r="J484" i="37"/>
  <c r="L145" i="66"/>
  <c r="N146" i="66"/>
  <c r="N194" i="66"/>
  <c r="L97" i="66"/>
  <c r="P97" i="66" s="1"/>
  <c r="I484" i="37"/>
  <c r="J425" i="41"/>
  <c r="O3" i="41" s="1"/>
  <c r="C29" i="63"/>
  <c r="C22" i="63"/>
  <c r="L289" i="66" l="1"/>
  <c r="P289" i="66" s="1"/>
  <c r="I484" i="58"/>
  <c r="I484" i="41" s="1"/>
  <c r="J484" i="41"/>
  <c r="P241" i="66"/>
  <c r="N241" i="66"/>
  <c r="Y194" i="66"/>
  <c r="Z194" i="66"/>
  <c r="Z50" i="66"/>
  <c r="Y50" i="66"/>
  <c r="Y290" i="66"/>
  <c r="Z146" i="66"/>
  <c r="Y146" i="66"/>
  <c r="Z290" i="66"/>
  <c r="P145" i="66"/>
  <c r="N145" i="66"/>
  <c r="Z98" i="66"/>
  <c r="Y98" i="66"/>
  <c r="Y242" i="66"/>
  <c r="Z242" i="66"/>
  <c r="H484" i="58"/>
  <c r="L193" i="66"/>
  <c r="N97" i="66"/>
  <c r="H484" i="37"/>
  <c r="L49" i="66"/>
  <c r="N289" i="66" l="1"/>
  <c r="O145" i="66" s="1"/>
  <c r="H484" i="41"/>
  <c r="N49" i="66"/>
  <c r="R49" i="66"/>
  <c r="T49" i="66" s="1"/>
  <c r="P49" i="66"/>
  <c r="V49" i="66" s="1"/>
  <c r="X49" i="66" s="1"/>
  <c r="Z241" i="66"/>
  <c r="Z97" i="66"/>
  <c r="Y97" i="66"/>
  <c r="O97" i="66"/>
  <c r="Y241" i="66"/>
  <c r="R193" i="66"/>
  <c r="T193" i="66" s="1"/>
  <c r="P193" i="66"/>
  <c r="V193" i="66" s="1"/>
  <c r="X193" i="66" s="1"/>
  <c r="N193" i="66"/>
  <c r="O241" i="66"/>
  <c r="Y289" i="66" l="1"/>
  <c r="O289" i="66"/>
  <c r="V289" i="66" s="1"/>
  <c r="X289" i="66" s="1"/>
  <c r="Z145" i="66"/>
  <c r="Y145" i="66"/>
  <c r="Z289" i="66"/>
  <c r="O193" i="66"/>
  <c r="U193" i="66" s="1"/>
  <c r="Q97" i="66"/>
  <c r="R97" i="66" s="1"/>
  <c r="T97" i="66" s="1"/>
  <c r="U97" i="66"/>
  <c r="V97" i="66"/>
  <c r="X97" i="66" s="1"/>
  <c r="Q145" i="66"/>
  <c r="R145" i="66" s="1"/>
  <c r="T145" i="66" s="1"/>
  <c r="U145" i="66"/>
  <c r="V145" i="66"/>
  <c r="X145" i="66" s="1"/>
  <c r="Q241" i="66"/>
  <c r="R241" i="66" s="1"/>
  <c r="T241" i="66" s="1"/>
  <c r="U241" i="66"/>
  <c r="V241" i="66"/>
  <c r="X241" i="66" s="1"/>
  <c r="Y49" i="66"/>
  <c r="Z193" i="66"/>
  <c r="O49" i="66"/>
  <c r="Z49" i="66"/>
  <c r="Y193" i="66"/>
  <c r="U289" i="66" l="1"/>
  <c r="Q289" i="66"/>
  <c r="R289" i="66" s="1"/>
  <c r="T289" i="66" s="1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<sst xmlns="http://schemas.openxmlformats.org/spreadsheetml/2006/main" count="4752" uniqueCount="333">
  <si>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</si>
  <si>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</si>
  <si>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</si>
  <si>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</si>
  <si>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</si>
  <si>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</si>
  <si>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</si>
  <si>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</si>
  <si>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</si>
  <si>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</si>
  <si>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</si>
  <si>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</si>
  <si>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</si>
  <si>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</si>
  <si>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</si>
  <si>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</si>
  <si>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</si>
  <si>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</si>
  <si>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</si>
  <si>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</si>
  <si>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</si>
  <si>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</si>
  <si>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</si>
  <si>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</si>
  <si>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</si>
  <si>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</si>
  <si>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</si>
  <si>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</si>
  <si>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</si>
  <si>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</si>
  <si>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</si>
  <si>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</si>
  <si>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</si>
  <si>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</si>
  <si>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</si>
  <si>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</si>
  <si>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</si>
  <si>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</si>
  <si>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</si>
  <si>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</si>
  <si>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</si>
  <si>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</si>
  <si>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</si>
  <si>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</si>
  <si>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</si>
  <si>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</si>
  <si>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</si>
  <si>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</si>
  <si>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</si>
  <si>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</si>
  <si>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</si>
  <si>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</si>
  <si>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</si>
  <si>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</si>
  <si>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</si>
  <si>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</si>
  <si>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</si>
  <si>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</si>
  <si>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</si>
  <si>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</si>
  <si>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</si>
  <si>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</si>
  <si>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</si>
  <si>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</si>
  <si>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</si>
  <si>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</si>
  <si>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</si>
  <si>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</si>
  <si>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</si>
  <si>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</si>
  <si>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</si>
  <si>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</si>
  <si>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</si>
  <si>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</si>
  <si>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</si>
  <si>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</si>
  <si>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</si>
  <si>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</si>
  <si>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</si>
  <si>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</si>
  <si>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</si>
  <si>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</si>
  <si>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</si>
  <si>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</si>
  <si>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</si>
  <si>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</si>
  <si>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</si>
  <si>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</si>
  <si>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</si>
  <si>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</si>
  <si>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</si>
  <si>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</si>
  <si>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</si>
  <si>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</si>
  <si>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</si>
  <si>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</si>
  <si>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</si>
  <si>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</si>
  <si>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</si>
  <si>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</si>
  <si>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</si>
  <si>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</si>
  <si>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</si>
  <si>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</si>
  <si>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</si>
  <si>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</si>
  <si>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</si>
  <si>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</si>
  <si>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</si>
  <si>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</si>
  <si>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</si>
  <si>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</si>
  <si>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</si>
  <si>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</si>
  <si>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</si>
  <si>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</si>
  <si>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</si>
  <si>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</si>
  <si>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</si>
  <si>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</si>
  <si>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</si>
  <si>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</si>
  <si>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</si>
  <si>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</si>
  <si>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</si>
  <si>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</si>
  <si>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</si>
  <si>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</si>
  <si>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</si>
  <si>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</si>
  <si>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</si>
  <si>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</si>
  <si>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</si>
  <si>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</si>
  <si>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</si>
  <si>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</si>
  <si>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</si>
  <si>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</si>
  <si>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</si>
  <si>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</si>
  <si>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</si>
  <si>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</si>
  <si>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</si>
  <si>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</si>
  <si>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</si>
  <si>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</si>
  <si>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</si>
  <si>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</si>
  <si>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</si>
  <si>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</si>
  <si>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</si>
  <si>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</si>
  <si>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</si>
  <si>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</si>
  <si>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</si>
  <si>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</si>
  <si>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</si>
  <si>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</si>
  <si>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</si>
  <si>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</si>
  <si>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</si>
  <si>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</si>
  <si>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</si>
  <si>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</si>
  <si>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</si>
  <si>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</si>
  <si>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</si>
  <si>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</si>
  <si>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</si>
  <si>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</si>
  <si>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</si>
  <si>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</si>
  <si>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</si>
  <si>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</si>
  <si>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</si>
  <si>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</si>
  <si>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</si>
  <si>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</si>
  <si>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</si>
  <si>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</si>
  <si>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</si>
  <si>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</si>
  <si>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</si>
  <si>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</si>
  <si>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</si>
  <si>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</si>
  <si>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</si>
  <si>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</si>
  <si>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</si>
  <si>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</si>
  <si>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</si>
  <si>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</si>
  <si>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</si>
  <si>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</si>
  <si>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</si>
  <si>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</si>
  <si>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</si>
  <si>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</si>
  <si>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</si>
  <si>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</si>
  <si>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</si>
  <si>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</si>
  <si>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</si>
  <si>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</si>
  <si>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</si>
  <si>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</si>
  <si>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</si>
  <si>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</si>
  <si>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</si>
  <si>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</si>
  <si>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</si>
  <si>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</si>
  <si>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</si>
  <si>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</si>
  <si>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</si>
  <si>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</si>
  <si>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</si>
  <si>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</si>
  <si>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</si>
  <si>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</si>
  <si>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</si>
  <si>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</si>
  <si>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</si>
  <si>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</si>
  <si>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</si>
  <si>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</si>
  <si>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</si>
  <si>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</si>
  <si>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</si>
  <si>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</si>
  <si>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</si>
  <si>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</si>
  <si>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</si>
  <si>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</si>
  <si>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</si>
  <si>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</si>
  <si>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</si>
  <si>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</si>
  <si>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</si>
  <si>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</si>
  <si>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</si>
  <si>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</si>
  <si>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</si>
  <si>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</si>
  <si>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</si>
  <si>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</si>
  <si>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</si>
  <si>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</si>
  <si>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</si>
  <si>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</si>
  <si>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</si>
  <si>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</si>
  <si>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</si>
  <si>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</si>
  <si>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</si>
  <si>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</si>
  <si>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</si>
  <si>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</si>
  <si>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</si>
  <si>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</si>
  <si>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</si>
  <si>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</si>
  <si>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Resume af resultater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</si>
  <si>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</si>
  <si>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</si>
  <si>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</si>
  <si>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</si>
  <si>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</si>
  <si>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</si>
  <si>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</si>
  <si>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</si>
  <si>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</si>
  <si>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</si>
  <si>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</si>
  <si>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</si>
  <si>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</si>
  <si>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</si>
  <si>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</si>
  <si>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</si>
  <si>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</si>
  <si>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</si>
  <si>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</si>
  <si>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</si>
  <si>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</si>
  <si>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</si>
  <si>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</si>
  <si>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</si>
  <si>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</si>
  <si>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</si>
  <si>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</si>
  <si>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</si>
  <si>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</si>
  <si>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</si>
  <si>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</si>
  <si>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</si>
  <si>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</si>
  <si>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</si>
  <si>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</si>
  <si>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</si>
  <si>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</si>
  <si>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</si>
  <si>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</si>
  <si>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</si>
  <si>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</si>
  <si>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</si>
  <si>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</si>
  <si>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</si>
  <si>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</si>
  <si>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</si>
  <si>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</si>
  <si>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</si>
  <si>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</si>
  <si>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</si>
  <si>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</si>
  <si>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</si>
  <si>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</si>
  <si>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</si>
  <si>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</si>
  <si>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</si>
  <si>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</si>
  <si>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</si>
  <si>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</si>
  <si>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</si>
  <si>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</si>
  <si>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</si>
  <si>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</si>
  <si>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</si>
  <si>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</si>
  <si>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</si>
  <si>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</si>
  <si>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</si>
  <si>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Eksempel</t>
  </si>
  <si>
    <t>Skriv en kort scenarie-beskrivelse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</si>
</sst>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29" fillId="2" borderId="1" xfId="0" applyFont="1" applyFill="1" applyBorder="1"/>
    <xf numFmtId="0" fontId="29" fillId="8" borderId="1" xfId="0" applyFont="1" applyFill="1" applyBorder="1" applyAlignment="1">
      <alignment wrapText="1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199829.53804586967</c:v>
                </c:pt>
                <c:pt idx="2">
                  <c:v>75985.439999999988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4560.2674097997924</c:v>
                </c:pt>
                <c:pt idx="2">
                  <c:v>3856.6246242587122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282517.39380976727</c:v>
                </c:pt>
                <c:pt idx="2">
                  <c:v>313439.93999999994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33094.81999075169</c:v>
                </c:pt>
                <c:pt idx="2">
                  <c:v>28494.539999999994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17095.512143016578</c:v>
                </c:pt>
                <c:pt idx="2">
                  <c:v>14412.414806996741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49497.245929057179</c:v>
                </c:pt>
                <c:pt idx="2">
                  <c:v>41596.868517815572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1013573.4662270322</c:v>
                </c:pt>
                <c:pt idx="2">
                  <c:v>927022.36799999978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164539.73836605082</c:v>
                </c:pt>
                <c:pt idx="2">
                  <c:v>138216.16148320961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62987.677488143483</c:v>
                </c:pt>
                <c:pt idx="2">
                  <c:v>53130.292819429109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145931.69004824533</c:v>
                </c:pt>
                <c:pt idx="2">
                  <c:v>124102.62830577194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29741.385965430891</c:v>
                </c:pt>
                <c:pt idx="2">
                  <c:v>96881.435999999987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175530.49803413817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7100.6269621881202</c:v>
                </c:pt>
                <c:pt idx="2">
                  <c:v>5542.2060385333634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93143.939406838661</c:v>
                </c:pt>
                <c:pt idx="2">
                  <c:v>76736.379999162556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269-9273-CD80D72106F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269-9273-CD80D72106F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269-9273-CD80D72106F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269-9273-CD80D72106F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D3-4269-9273-CD80D72106FA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D3-4269-9273-CD80D721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2278369.9999999995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59D-9477-C7EA5CBA0AB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59D-9477-C7EA5CBA0AB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59D-9477-C7EA5CBA0AB8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3-459D-9477-C7EA5CBA0AB8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83-459D-9477-C7EA5CBA0AB8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83-459D-9477-C7EA5CBA0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6111121.1007917309</c:v>
                </c:pt>
                <c:pt idx="2">
                  <c:v>4324318.1292834161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-2891570.0535560297</c:v>
                </c:pt>
                <c:pt idx="2">
                  <c:v>-5311784.9810161777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-656685.03273093957</c:v>
                </c:pt>
                <c:pt idx="2">
                  <c:v>-2133657.2280338705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5981850.4819778297</c:v>
                </c:pt>
                <c:pt idx="2">
                  <c:v>66373.300562149088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F-4375-84EE-517A86A901B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F-4375-84EE-517A86A901B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F-4375-84EE-517A86A901BB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F-4375-84EE-517A86A901BB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9F-4375-84EE-517A86A901BB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9F-4375-84EE-517A86A9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2887341.7522961246</c:v>
                </c:pt>
                <c:pt idx="2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796263.82624095271</c:v>
                </c:pt>
                <c:pt idx="2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212912.25589938162</c:v>
                </c:pt>
                <c:pt idx="1">
                  <c:v>-157121.32833106382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212912.25589938162</c:v>
                </c:pt>
                <c:pt idx="1">
                  <c:v>-262455.6138851064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279937.20820781856</c:v>
                </c:pt>
                <c:pt idx="11">
                  <c:v>179784.00628818327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2399999.9999999995</c:v>
                </c:pt>
                <c:pt idx="26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647280.67246795236</c:v>
                </c:pt>
                <c:pt idx="23">
                  <c:v>578507.50441306364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177910.66423582719</c:v>
                </c:pt>
                <c:pt idx="11">
                  <c:v>143754.34851838503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2887341.7522961246</c:v>
                </c:pt>
                <c:pt idx="11">
                  <c:v>3219025.8677428318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207129.81518974475</c:v>
                </c:pt>
                <c:pt idx="11">
                  <c:v>185122.40141218036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845032.45893953415</c:v>
                </c:pt>
                <c:pt idx="17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796263.82624095271</c:v>
                </c:pt>
                <c:pt idx="14">
                  <c:v>960666.59070625633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204183.52508117072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2.3283064365386963E-10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86323.466448020423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944815.08868008247</c:v>
                </c:pt>
                <c:pt idx="1">
                  <c:v>845032.45893953415</c:v>
                </c:pt>
                <c:pt idx="2">
                  <c:v>631899.71161449468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87324.875890037511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15643.966740612406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536-A517-DF3FF6D0FFD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536-A517-DF3FF6D0FFD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536-A517-DF3FF6D0FFD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420629.98984142789</c:v>
                </c:pt>
                <c:pt idx="1">
                  <c:v>442063.3551196605</c:v>
                </c:pt>
                <c:pt idx="2">
                  <c:v>466953.25695209636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E-4536-A517-DF3FF6D0FFD3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9E-4536-A517-DF3FF6D0FFD3}"/>
            </c:ext>
          </c:extLst>
        </c:ser>
        <c:ser>
          <c:idx val="13"/>
          <c:order val="13"/>
          <c:tx>
            <c:strRef>
              <c:f>'Resultat-Import'!$O$4:$O$5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'Resultat-Import'!$O$6:$O$9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5323.8485308689997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9E-4536-A517-DF3FF6D0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625406.97967309353</c:v>
                </c:pt>
                <c:pt idx="2">
                  <c:v>70483.90939290321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1353770.6425495991</c:v>
                </c:pt>
                <c:pt idx="2">
                  <c:v>1166060.5221775137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1412779.4258324602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266369.62792796968</c:v>
                </c:pt>
                <c:pt idx="2">
                  <c:v>178110.40928567733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1899675.9622489491</c:v>
                </c:pt>
                <c:pt idx="2">
                  <c:v>1638449.5478959829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143942.67549478565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1251221.156351428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389570.8883221494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865619.06279705255</c:v>
                </c:pt>
                <c:pt idx="2">
                  <c:v>766353.13408428861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1900388.2590808054</c:v>
                </c:pt>
                <c:pt idx="2">
                  <c:v>1683532.6058182179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29062.735496575362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8.1485324711469715</c:v>
                </c:pt>
                <c:pt idx="2">
                  <c:v>0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3.3863602827490196</c:v>
                </c:pt>
                <c:pt idx="2">
                  <c:v>1.8582126718683771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25.157599999999995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7.2495435316410655</c:v>
                </c:pt>
                <c:pt idx="2">
                  <c:v>6.4792840494263118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45.121442848928446</c:v>
                </c:pt>
                <c:pt idx="2">
                  <c:v>49.300253220247079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848858.76380294724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282568.85638002929</c:v>
                </c:pt>
                <c:pt idx="2">
                  <c:v>152816.40534495577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1501864.0339809931</c:v>
                </c:pt>
                <c:pt idx="2">
                  <c:v>1651734.5983896051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06018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1759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40740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229.68472184208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63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430071.1586942635"/>
    </cacheField>
    <cacheField name="Halmudbytte" numFmtId="0">
      <sharedItems containsSemiMixedTypes="0" containsString="0" containsNumber="1" minValue="0" maxValue="2242927.0313879768"/>
    </cacheField>
    <cacheField name="Potentielt til bioenergi" numFmtId="1">
      <sharedItems containsSemiMixedTypes="0" containsString="0" containsNumber="1" minValue="0" maxValue="9430071.15869426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275462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10185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3333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44383.8726877095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808344907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25365539707126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7.12536553970712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6878.2385865347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66878.2385865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82131.531426910311"/>
  </r>
  <r>
    <x v="3"/>
    <s v="Vestdanmark"/>
    <x v="34"/>
    <x v="1"/>
    <n v="157338.48086693991"/>
  </r>
  <r>
    <x v="3"/>
    <s v="Vestdanmark"/>
    <x v="35"/>
    <x v="1"/>
    <n v="137787.71897449746"/>
  </r>
  <r>
    <x v="3"/>
    <s v="Vestdanmark"/>
    <x v="36"/>
    <x v="1"/>
    <n v="2237882.3950256575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7418.2501584528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97805.67678090825"/>
  </r>
  <r>
    <x v="3"/>
    <s v="Østdanmark"/>
    <x v="34"/>
    <x v="1"/>
    <n v="49791.334322804847"/>
  </r>
  <r>
    <x v="3"/>
    <s v="Østdanmark"/>
    <x v="35"/>
    <x v="1"/>
    <n v="40122.945261329733"/>
  </r>
  <r>
    <x v="3"/>
    <s v="Østdanmark"/>
    <x v="36"/>
    <x v="1"/>
    <n v="649459.3572704668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845.5760824997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36053.24395034276"/>
  </r>
  <r>
    <x v="3"/>
    <s v="Vestdanmark"/>
    <x v="35"/>
    <x v="2"/>
    <n v="105650.3443056977"/>
  </r>
  <r>
    <x v="3"/>
    <s v="Vestdanmark"/>
    <x v="36"/>
    <x v="2"/>
    <n v="2561506.1268809466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1203.2767974021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79784.00628818327"/>
  </r>
  <r>
    <x v="3"/>
    <s v="Østdanmark"/>
    <x v="34"/>
    <x v="2"/>
    <n v="49069.157461837603"/>
  </r>
  <r>
    <x v="3"/>
    <s v="Østdanmark"/>
    <x v="35"/>
    <x v="2"/>
    <n v="38104.004212687338"/>
  </r>
  <r>
    <x v="3"/>
    <s v="Østdanmark"/>
    <x v="36"/>
    <x v="2"/>
    <n v="657519.74086188513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463.3139088541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19524.2171521649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23942.2593549884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5508.2417873693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07957.45225950622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491682.75270918722"/>
  </r>
  <r>
    <x v="7"/>
    <s v="Vestdanmark"/>
    <x v="40"/>
    <x v="2"/>
    <n v="425166.38734482112"/>
  </r>
  <r>
    <x v="7"/>
    <s v="Østdanmark"/>
    <x v="40"/>
    <x v="0"/>
    <n v="193574.13238370849"/>
  </r>
  <r>
    <x v="7"/>
    <s v="Østdanmark"/>
    <x v="40"/>
    <x v="1"/>
    <n v="155597.91975876514"/>
  </r>
  <r>
    <x v="7"/>
    <s v="Østdanmark"/>
    <x v="40"/>
    <x v="2"/>
    <n v="153341.11706824251"/>
  </r>
  <r>
    <x v="8"/>
    <s v="Vestdanmark"/>
    <x v="22"/>
    <x v="0"/>
    <n v="0"/>
  </r>
  <r>
    <x v="8"/>
    <s v="Vestdanmark"/>
    <x v="22"/>
    <x v="1"/>
    <n v="1759584.2426528081"/>
  </r>
  <r>
    <x v="8"/>
    <s v="Vestdanmark"/>
    <x v="22"/>
    <x v="2"/>
    <n v="1826027.465332838"/>
  </r>
  <r>
    <x v="8"/>
    <s v="Østdanmark"/>
    <x v="22"/>
    <x v="0"/>
    <n v="0"/>
  </r>
  <r>
    <x v="8"/>
    <s v="Østdanmark"/>
    <x v="22"/>
    <x v="1"/>
    <n v="640415.75734719133"/>
  </r>
  <r>
    <x v="8"/>
    <s v="Østdanmark"/>
    <x v="22"/>
    <x v="2"/>
    <n v="773972.5346671622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85367.17588557256"/>
  </r>
  <r>
    <x v="3"/>
    <s v="Vestdanmark"/>
    <x v="42"/>
    <x v="1"/>
    <n v="246341.79397139314"/>
  </r>
  <r>
    <x v="3"/>
    <s v="Vestdanmark"/>
    <x v="41"/>
    <x v="2"/>
    <n v="1022575.3805863893"/>
  </r>
  <r>
    <x v="3"/>
    <s v="Vestdanmark"/>
    <x v="42"/>
    <x v="2"/>
    <n v="255643.84514659733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8632.8241144272"/>
  </r>
  <r>
    <x v="3"/>
    <s v="Østdanmark"/>
    <x v="42"/>
    <x v="1"/>
    <n v="89658.206028606801"/>
  </r>
  <r>
    <x v="3"/>
    <s v="Østdanmark"/>
    <x v="41"/>
    <x v="2"/>
    <n v="433424.6194136109"/>
  </r>
  <r>
    <x v="3"/>
    <s v="Østdanmark"/>
    <x v="42"/>
    <x v="2"/>
    <n v="108356.15485340272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6924.2322591296"/>
  </r>
  <r>
    <x v="0"/>
    <x v="2"/>
    <x v="1"/>
    <s v="JB1-10"/>
    <n v="615211.36557101831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96112.1839026022"/>
  </r>
  <r>
    <x v="0"/>
    <x v="2"/>
    <x v="2"/>
    <s v="JB1-10"/>
    <n v="886023.4139275457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711.76774087024"/>
  </r>
  <r>
    <x v="1"/>
    <x v="2"/>
    <x v="1"/>
    <s v="JB1-10"/>
    <n v="146688.6344289816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3523.81609739771"/>
  </r>
  <r>
    <x v="1"/>
    <x v="2"/>
    <x v="2"/>
    <s v="JB1-10"/>
    <n v="175876.5860724542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554587.0358191766"/>
  </r>
  <r>
    <x v="1"/>
    <x v="0"/>
    <x v="1"/>
    <n v="591979.43166723347"/>
  </r>
  <r>
    <x v="2"/>
    <x v="0"/>
    <x v="1"/>
    <n v="491682.75270918722"/>
  </r>
  <r>
    <x v="3"/>
    <x v="0"/>
    <x v="1"/>
    <n v="13449654.970687632"/>
  </r>
  <r>
    <x v="4"/>
    <x v="0"/>
    <x v="1"/>
    <n v="584008.32505294203"/>
  </r>
  <r>
    <x v="5"/>
    <x v="0"/>
    <x v="1"/>
    <n v="1629278.4215668719"/>
  </r>
  <r>
    <x v="6"/>
    <x v="0"/>
    <x v="1"/>
    <n v="1841748.7573203472"/>
  </r>
  <r>
    <x v="7"/>
    <x v="0"/>
    <x v="1"/>
    <n v="5889664.8799592536"/>
  </r>
  <r>
    <x v="8"/>
    <x v="0"/>
    <x v="1"/>
    <n v="29728.844675761778"/>
  </r>
  <r>
    <x v="9"/>
    <x v="0"/>
    <x v="1"/>
    <n v="1447922.491901034"/>
  </r>
  <r>
    <x v="10"/>
    <x v="0"/>
    <x v="1"/>
    <n v="1026358.4533950178"/>
  </r>
  <r>
    <x v="11"/>
    <x v="0"/>
    <x v="1"/>
    <n v="660091.35045141261"/>
  </r>
  <r>
    <x v="12"/>
    <x v="0"/>
    <x v="1"/>
    <n v="137787.71897449746"/>
  </r>
  <r>
    <x v="0"/>
    <x v="0"/>
    <x v="2"/>
    <n v="5175140.4844207428"/>
  </r>
  <r>
    <x v="1"/>
    <x v="0"/>
    <x v="2"/>
    <n v="229239.68000087165"/>
  </r>
  <r>
    <x v="2"/>
    <x v="0"/>
    <x v="2"/>
    <n v="425166.38734482112"/>
  </r>
  <r>
    <x v="3"/>
    <x v="0"/>
    <x v="2"/>
    <n v="12638867.190239046"/>
  </r>
  <r>
    <x v="4"/>
    <x v="0"/>
    <x v="2"/>
    <n v="517140.09776658902"/>
  </r>
  <r>
    <x v="5"/>
    <x v="0"/>
    <x v="2"/>
    <n v="1380779.0927334789"/>
  </r>
  <r>
    <x v="6"/>
    <x v="0"/>
    <x v="2"/>
    <n v="6152561.8392005628"/>
  </r>
  <r>
    <x v="7"/>
    <x v="0"/>
    <x v="2"/>
    <n v="5044845.1425454961"/>
  </r>
  <r>
    <x v="8"/>
    <x v="0"/>
    <x v="2"/>
    <n v="25590.994669556865"/>
  </r>
  <r>
    <x v="9"/>
    <x v="0"/>
    <x v="2"/>
    <n v="1237289.8718386632"/>
  </r>
  <r>
    <x v="10"/>
    <x v="0"/>
    <x v="2"/>
    <n v="856980.65428316663"/>
  </r>
  <r>
    <x v="11"/>
    <x v="0"/>
    <x v="2"/>
    <n v="563221.03164344118"/>
  </r>
  <r>
    <x v="12"/>
    <x v="0"/>
    <x v="2"/>
    <n v="105650.344305697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43254.4513111422"/>
  </r>
  <r>
    <x v="1"/>
    <x v="1"/>
    <x v="1"/>
    <n v="186894.80647162997"/>
  </r>
  <r>
    <x v="2"/>
    <x v="1"/>
    <x v="1"/>
    <n v="155597.91975876514"/>
  </r>
  <r>
    <x v="3"/>
    <x v="1"/>
    <x v="1"/>
    <n v="3943026.9913582187"/>
  </r>
  <r>
    <x v="4"/>
    <x v="1"/>
    <x v="1"/>
    <n v="186404.46166036319"/>
  </r>
  <r>
    <x v="5"/>
    <x v="1"/>
    <x v="1"/>
    <n v="500889.63841808488"/>
  </r>
  <r>
    <x v="6"/>
    <x v="1"/>
    <x v="1"/>
    <n v="595858.7431309158"/>
  </r>
  <r>
    <x v="7"/>
    <x v="1"/>
    <x v="1"/>
    <n v="1808652.0356475962"/>
  </r>
  <r>
    <x v="8"/>
    <x v="1"/>
    <x v="1"/>
    <n v="9455.0372358026925"/>
  </r>
  <r>
    <x v="9"/>
    <x v="1"/>
    <x v="1"/>
    <n v="452465.76717977138"/>
  </r>
  <r>
    <x v="10"/>
    <x v="1"/>
    <x v="1"/>
    <n v="327412.1891545814"/>
  </r>
  <r>
    <x v="11"/>
    <x v="1"/>
    <x v="1"/>
    <n v="205527.71234563988"/>
  </r>
  <r>
    <x v="12"/>
    <x v="1"/>
    <x v="1"/>
    <n v="40122.945261329733"/>
  </r>
  <r>
    <x v="0"/>
    <x v="1"/>
    <x v="2"/>
    <n v="1866473.5653775071"/>
  </r>
  <r>
    <x v="1"/>
    <x v="1"/>
    <x v="2"/>
    <n v="82677.910705088332"/>
  </r>
  <r>
    <x v="2"/>
    <x v="1"/>
    <x v="2"/>
    <n v="153341.11706824251"/>
  </r>
  <r>
    <x v="3"/>
    <x v="1"/>
    <x v="2"/>
    <n v="4558351.9090764793"/>
  </r>
  <r>
    <x v="4"/>
    <x v="1"/>
    <x v="2"/>
    <n v="186512.4869525386"/>
  </r>
  <r>
    <x v="5"/>
    <x v="1"/>
    <x v="2"/>
    <n v="497993.76151649386"/>
  </r>
  <r>
    <x v="6"/>
    <x v="1"/>
    <x v="2"/>
    <n v="2218991.7484923378"/>
  </r>
  <r>
    <x v="7"/>
    <x v="1"/>
    <x v="2"/>
    <n v="1819481.0611094432"/>
  </r>
  <r>
    <x v="8"/>
    <x v="1"/>
    <x v="2"/>
    <n v="9229.684721842088"/>
  </r>
  <r>
    <x v="9"/>
    <x v="1"/>
    <x v="2"/>
    <n v="446242.73397955461"/>
  </r>
  <r>
    <x v="10"/>
    <x v="1"/>
    <x v="2"/>
    <n v="309079.86789434712"/>
  </r>
  <r>
    <x v="11"/>
    <x v="1"/>
    <x v="2"/>
    <n v="203132.10244084746"/>
  </r>
  <r>
    <x v="12"/>
    <x v="1"/>
    <x v="2"/>
    <n v="38104.00421268733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8850.25740686618"/>
    <n v="4548440.3044221317"/>
    <n v="2141405.6953219399"/>
    <n v="2141405.6953219399"/>
  </r>
  <r>
    <x v="0"/>
    <x v="1"/>
    <x v="1"/>
    <s v="Konventionel"/>
    <x v="0"/>
    <s v="Halm"/>
    <n v="129770.05148137324"/>
    <n v="500912.3987181008"/>
    <n v="214501.58981541521"/>
    <n v="214501.58981541521"/>
  </r>
  <r>
    <x v="0"/>
    <x v="2"/>
    <x v="1"/>
    <s v="Konventionel"/>
    <x v="0"/>
    <s v="Halm"/>
    <n v="94198.189455557425"/>
    <n v="414472.03360445268"/>
    <n v="319309.25468887039"/>
    <n v="319309.25468887039"/>
  </r>
  <r>
    <x v="0"/>
    <x v="3"/>
    <x v="1"/>
    <s v="Konventionel"/>
    <x v="0"/>
    <s v="Græs"/>
    <n v="173026.73530849765"/>
    <n v="8585586.6060076542"/>
    <n v="0"/>
    <n v="8585586.6060076542"/>
  </r>
  <r>
    <x v="0"/>
    <x v="4"/>
    <x v="1"/>
    <s v="Konventionel"/>
    <x v="0"/>
    <s v="Grøntsager"/>
    <n v="21628.341913562206"/>
    <n v="448788.09470641578"/>
    <n v="0"/>
    <n v="448788.09470641578"/>
  </r>
  <r>
    <x v="0"/>
    <x v="5"/>
    <x v="1"/>
    <s v="Konventionel"/>
    <x v="0"/>
    <s v="Kartofler"/>
    <n v="31573.462664665116"/>
    <n v="1340953.3587791899"/>
    <n v="0"/>
    <n v="1340953.3587791899"/>
  </r>
  <r>
    <x v="0"/>
    <x v="6"/>
    <x v="1"/>
    <s v="Konventionel"/>
    <x v="0"/>
    <s v="Roer"/>
    <n v="19417.799066386393"/>
    <n v="1577768.6286180227"/>
    <n v="0"/>
    <n v="1577768.6286180227"/>
  </r>
  <r>
    <x v="0"/>
    <x v="7"/>
    <x v="1"/>
    <s v="Konventionel"/>
    <x v="0"/>
    <s v="Majs"/>
    <n v="104910.84953605094"/>
    <n v="4669581.9128496274"/>
    <n v="0"/>
    <n v="4669581.9128496274"/>
  </r>
  <r>
    <x v="0"/>
    <x v="8"/>
    <x v="1"/>
    <s v="Konventionel"/>
    <x v="0"/>
    <s v="Frugt"/>
    <n v="2927.3115483082306"/>
    <n v="24852.875045136883"/>
    <n v="0"/>
    <n v="24852.875045136883"/>
  </r>
  <r>
    <x v="0"/>
    <x v="9"/>
    <x v="1"/>
    <s v="Konventionel"/>
    <x v="0"/>
    <s v="Øvrige"/>
    <n v="40327.730823739985"/>
    <n v="1201602.7894375001"/>
    <n v="0"/>
    <n v="1201602.7894375001"/>
  </r>
  <r>
    <x v="0"/>
    <x v="10"/>
    <x v="1"/>
    <s v="Konventionel"/>
    <x v="0"/>
    <s v="Halm"/>
    <n v="58245.567881809096"/>
    <n v="832262.80932080687"/>
    <n v="199432.82442731439"/>
    <n v="199432.82442731439"/>
  </r>
  <r>
    <x v="0"/>
    <x v="11"/>
    <x v="1"/>
    <s v="Konventionel"/>
    <x v="0"/>
    <s v="Juletræer"/>
    <n v="10939.52158012771"/>
    <n v="546976.07900638552"/>
    <n v="0"/>
    <n v="546976.07900638552"/>
  </r>
  <r>
    <x v="0"/>
    <x v="12"/>
    <x v="1"/>
    <s v="Konventionel"/>
    <x v="0"/>
    <s v="Pil &amp; poppel"/>
    <n v="4206.7261712878571"/>
    <n v="102603.07734848432"/>
    <n v="0"/>
    <n v="102603.07734848432"/>
  </r>
  <r>
    <x v="0"/>
    <x v="13"/>
    <x v="1"/>
    <s v="Konventionel"/>
    <x v="0"/>
    <s v="Græs"/>
    <n v="102374.15172419442"/>
    <n v="1411739.5522766411"/>
    <n v="0"/>
    <n v="1411739.5522766411"/>
  </r>
  <r>
    <x v="0"/>
    <x v="0"/>
    <x v="2"/>
    <s v="Konventionel"/>
    <x v="0"/>
    <s v="Halm"/>
    <n v="562074.76523918763"/>
    <n v="3940144.104326705"/>
    <n v="2242927.0313879768"/>
    <n v="2242927.0313879768"/>
  </r>
  <r>
    <x v="0"/>
    <x v="1"/>
    <x v="2"/>
    <s v="Konventionel"/>
    <x v="0"/>
    <s v="Halm"/>
    <n v="46071.702068785875"/>
    <n v="177836.7699855135"/>
    <n v="92078.212679144403"/>
    <n v="92078.212679144403"/>
  </r>
  <r>
    <x v="0"/>
    <x v="2"/>
    <x v="2"/>
    <s v="Konventionel"/>
    <x v="0"/>
    <s v="Halm"/>
    <n v="75246.248718922972"/>
    <n v="331083.4943632611"/>
    <n v="308404.27499937773"/>
    <n v="308404.27499937773"/>
  </r>
  <r>
    <x v="0"/>
    <x v="3"/>
    <x v="2"/>
    <s v="Konventionel"/>
    <x v="0"/>
    <s v="Græs"/>
    <n v="190045.77103374171"/>
    <n v="9430071.1586942635"/>
    <n v="0"/>
    <n v="9430071.1586942635"/>
  </r>
  <r>
    <x v="0"/>
    <x v="4"/>
    <x v="2"/>
    <s v="Konventionel"/>
    <x v="0"/>
    <s v="Grøntsager"/>
    <n v="17276.888275794699"/>
    <n v="358495.43172274"/>
    <n v="0"/>
    <n v="358495.43172274"/>
  </r>
  <r>
    <x v="0"/>
    <x v="5"/>
    <x v="2"/>
    <s v="Konventionel"/>
    <x v="0"/>
    <s v="Kartofler"/>
    <n v="25221.128328627925"/>
    <n v="1071164.0057878112"/>
    <n v="0"/>
    <n v="1071164.0057878112"/>
  </r>
  <r>
    <x v="0"/>
    <x v="6"/>
    <x v="2"/>
    <s v="Konventionel"/>
    <x v="0"/>
    <s v="Roer"/>
    <n v="58741.420137701978"/>
    <n v="4772959.5705917841"/>
    <n v="0"/>
    <n v="4772959.5705917841"/>
  </r>
  <r>
    <x v="0"/>
    <x v="7"/>
    <x v="2"/>
    <s v="Konventionel"/>
    <x v="0"/>
    <s v="Majs"/>
    <n v="83803.605176802695"/>
    <n v="3730098.4664194882"/>
    <n v="0"/>
    <n v="3730098.4664194882"/>
  </r>
  <r>
    <x v="0"/>
    <x v="8"/>
    <x v="2"/>
    <s v="Konventionel"/>
    <x v="0"/>
    <s v="Frugt"/>
    <n v="2338.3593051509692"/>
    <n v="19852.670500731732"/>
    <n v="0"/>
    <n v="19852.670500731732"/>
  </r>
  <r>
    <x v="0"/>
    <x v="9"/>
    <x v="2"/>
    <s v="Konventionel"/>
    <x v="0"/>
    <s v="Øvrige"/>
    <n v="32214.106039316102"/>
    <n v="959849.68371418584"/>
    <n v="0"/>
    <n v="959849.68371418584"/>
  </r>
  <r>
    <x v="0"/>
    <x v="10"/>
    <x v="2"/>
    <s v="Konventionel"/>
    <x v="0"/>
    <s v="Halm"/>
    <n v="46527.014085311035"/>
    <n v="664818.02582001023"/>
    <n v="192621.83831318768"/>
    <n v="192621.83831318768"/>
  </r>
  <r>
    <x v="0"/>
    <x v="11"/>
    <x v="2"/>
    <s v="Konventionel"/>
    <x v="0"/>
    <s v="Juletræer"/>
    <n v="8738.5751938754584"/>
    <n v="436928.75969377294"/>
    <n v="0"/>
    <n v="436928.75969377294"/>
  </r>
  <r>
    <x v="0"/>
    <x v="12"/>
    <x v="2"/>
    <s v="Konventionel"/>
    <x v="0"/>
    <s v="Pil &amp; poppel"/>
    <n v="3360.3656886258095"/>
    <n v="81960.138746970973"/>
    <n v="0"/>
    <n v="81960.138746970973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1265.64710974213"/>
    <n v="475614.36478032585"/>
    <n v="223919.24293857743"/>
    <n v="223919.24293857743"/>
  </r>
  <r>
    <x v="0"/>
    <x v="1"/>
    <x v="1"/>
    <s v="Økologisk"/>
    <x v="0"/>
    <s v="Halm"/>
    <n v="20253.129421948426"/>
    <n v="44560.935354170928"/>
    <n v="19081.962238492717"/>
    <n v="19081.962238492717"/>
  </r>
  <r>
    <x v="0"/>
    <x v="2"/>
    <x v="1"/>
    <s v="Økologisk"/>
    <x v="0"/>
    <s v="Halm"/>
    <n v="14701.451533526306"/>
    <n v="35577.512711133662"/>
    <n v="27408.915792657383"/>
    <n v="27408.915792657383"/>
  </r>
  <r>
    <x v="0"/>
    <x v="3"/>
    <x v="1"/>
    <s v="Økologisk"/>
    <x v="0"/>
    <s v="Græs"/>
    <n v="27004.172562597898"/>
    <n v="1045158.6931937641"/>
    <n v="0"/>
    <n v="1045158.6931937641"/>
  </r>
  <r>
    <x v="0"/>
    <x v="4"/>
    <x v="1"/>
    <s v="Økologisk"/>
    <x v="0"/>
    <s v="Grøntsager"/>
    <n v="3375.5215703247372"/>
    <n v="39923.981373015828"/>
    <n v="0"/>
    <n v="39923.981373015828"/>
  </r>
  <r>
    <x v="0"/>
    <x v="5"/>
    <x v="1"/>
    <s v="Økologisk"/>
    <x v="0"/>
    <s v="Kartofler"/>
    <n v="4927.6502424621867"/>
    <n v="119290.590702958"/>
    <n v="0"/>
    <n v="119290.590702958"/>
  </r>
  <r>
    <x v="0"/>
    <x v="6"/>
    <x v="1"/>
    <s v="Økologisk"/>
    <x v="0"/>
    <s v="Roer"/>
    <n v="3030.523553713484"/>
    <n v="140357.5675978692"/>
    <n v="0"/>
    <n v="140357.5675978692"/>
  </r>
  <r>
    <x v="0"/>
    <x v="7"/>
    <x v="1"/>
    <s v="Økologisk"/>
    <x v="0"/>
    <s v="Majs"/>
    <n v="16373.369580770957"/>
    <n v="604886.30443329574"/>
    <n v="0"/>
    <n v="604886.30443329574"/>
  </r>
  <r>
    <x v="0"/>
    <x v="8"/>
    <x v="1"/>
    <s v="Økologisk"/>
    <x v="0"/>
    <s v="Frugt"/>
    <n v="456.86365204810539"/>
    <n v="2210.9002713563964"/>
    <n v="0"/>
    <n v="2210.9002713563964"/>
  </r>
  <r>
    <x v="0"/>
    <x v="9"/>
    <x v="1"/>
    <s v="Økologisk"/>
    <x v="0"/>
    <s v="Øvrige"/>
    <n v="6293.9233077513272"/>
    <n v="106894.02849389089"/>
    <n v="0"/>
    <n v="106894.02849389089"/>
  </r>
  <r>
    <x v="0"/>
    <x v="10"/>
    <x v="1"/>
    <s v="Økologisk"/>
    <x v="0"/>
    <s v="Halm"/>
    <n v="9090.3487445598003"/>
    <n v="74037.714655764255"/>
    <n v="17741.451837782472"/>
    <n v="17741.451837782472"/>
  </r>
  <r>
    <x v="0"/>
    <x v="11"/>
    <x v="1"/>
    <s v="Økologisk"/>
    <x v="0"/>
    <s v="Juletræer"/>
    <n v="1707.3241772453653"/>
    <n v="48658.739051492907"/>
    <n v="0"/>
    <n v="48658.739051492907"/>
  </r>
  <r>
    <x v="0"/>
    <x v="12"/>
    <x v="1"/>
    <s v="Økologisk"/>
    <x v="0"/>
    <s v="Pil &amp; poppel"/>
    <n v="656.54107875590842"/>
    <n v="9127.5223144114098"/>
    <n v="0"/>
    <n v="9127.5223144114098"/>
  </r>
  <r>
    <x v="0"/>
    <x v="13"/>
    <x v="1"/>
    <s v="Økologisk"/>
    <x v="0"/>
    <s v="Græs"/>
    <n v="15977.468766203758"/>
    <n v="220329.29428594984"/>
    <n v="0"/>
    <n v="220329.29428594984"/>
  </r>
  <r>
    <x v="0"/>
    <x v="0"/>
    <x v="2"/>
    <s v="Økologisk"/>
    <x v="0"/>
    <s v="Halm"/>
    <n v="119227.9805052822"/>
    <n v="559978.05603915895"/>
    <n v="318767.50840029126"/>
    <n v="318767.50840029126"/>
  </r>
  <r>
    <x v="0"/>
    <x v="1"/>
    <x v="2"/>
    <s v="Økologisk"/>
    <x v="0"/>
    <s v="Halm"/>
    <n v="9772.7852873182146"/>
    <n v="21502.082189157536"/>
    <n v="11133.092987569276"/>
    <n v="11133.092987569276"/>
  </r>
  <r>
    <x v="0"/>
    <x v="2"/>
    <x v="2"/>
    <s v="Økologisk"/>
    <x v="0"/>
    <s v="Halm"/>
    <n v="15961.325485832145"/>
    <n v="38626.407675713795"/>
    <n v="35980.498749927407"/>
    <n v="35980.498749927407"/>
  </r>
  <r>
    <x v="0"/>
    <x v="3"/>
    <x v="2"/>
    <s v="Økologisk"/>
    <x v="0"/>
    <s v="Græs"/>
    <n v="40312.739310187637"/>
    <n v="1560248.1371657783"/>
    <n v="0"/>
    <n v="1560248.1371657783"/>
  </r>
  <r>
    <x v="0"/>
    <x v="4"/>
    <x v="2"/>
    <s v="Økologisk"/>
    <x v="0"/>
    <s v="Grøntsager"/>
    <n v="3664.7944827443303"/>
    <n v="43345.356744658566"/>
    <n v="0"/>
    <n v="43345.356744658566"/>
  </r>
  <r>
    <x v="0"/>
    <x v="5"/>
    <x v="2"/>
    <s v="Økologisk"/>
    <x v="0"/>
    <s v="Kartofler"/>
    <n v="5349.9363121331962"/>
    <n v="129513.46615434445"/>
    <n v="0"/>
    <n v="129513.46615434445"/>
  </r>
  <r>
    <x v="0"/>
    <x v="6"/>
    <x v="2"/>
    <s v="Økologisk"/>
    <x v="0"/>
    <s v="Roer"/>
    <n v="12460.301241330722"/>
    <n v="577094.20262609748"/>
    <n v="0"/>
    <n v="577094.20262609748"/>
  </r>
  <r>
    <x v="0"/>
    <x v="7"/>
    <x v="2"/>
    <s v="Økologisk"/>
    <x v="0"/>
    <s v="Majs"/>
    <n v="17776.522310230877"/>
    <n v="656723.39666355238"/>
    <n v="0"/>
    <n v="656723.39666355238"/>
  </r>
  <r>
    <x v="0"/>
    <x v="8"/>
    <x v="2"/>
    <s v="Økologisk"/>
    <x v="0"/>
    <s v="Frugt"/>
    <n v="496.01561018353891"/>
    <n v="2400.3683423611997"/>
    <n v="0"/>
    <n v="2400.3683423611997"/>
  </r>
  <r>
    <x v="0"/>
    <x v="9"/>
    <x v="2"/>
    <s v="Økologisk"/>
    <x v="0"/>
    <s v="Øvrige"/>
    <n v="6833.2952204609919"/>
    <n v="116054.55266726064"/>
    <n v="0"/>
    <n v="116054.55266726064"/>
  </r>
  <r>
    <x v="0"/>
    <x v="10"/>
    <x v="2"/>
    <s v="Økologisk"/>
    <x v="0"/>
    <s v="Halm"/>
    <n v="9869.3666241568881"/>
    <n v="80382.543121873969"/>
    <n v="23289.731359685422"/>
    <n v="23289.731359685422"/>
  </r>
  <r>
    <x v="0"/>
    <x v="11"/>
    <x v="2"/>
    <s v="Økologisk"/>
    <x v="0"/>
    <s v="Juletræer"/>
    <n v="1853.6371623372183"/>
    <n v="52828.659126610721"/>
    <n v="0"/>
    <n v="52828.659126610721"/>
  </r>
  <r>
    <x v="0"/>
    <x v="12"/>
    <x v="2"/>
    <s v="Økologisk"/>
    <x v="0"/>
    <s v="Pil &amp; poppel"/>
    <n v="712.80484304183835"/>
    <n v="9909.725866679215"/>
    <n v="0"/>
    <n v="9909.725866679215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7358.05559313373"/>
    <n v="1453579.9697078674"/>
    <n v="684345.4497384642"/>
    <n v="684345.4497384642"/>
  </r>
  <r>
    <x v="1"/>
    <x v="1"/>
    <x v="1"/>
    <s v="Konventionel"/>
    <x v="0"/>
    <s v="Halm"/>
    <n v="41471.611118626752"/>
    <n v="160080.41891789928"/>
    <n v="68549.918995978442"/>
    <n v="68549.918995978442"/>
  </r>
  <r>
    <x v="1"/>
    <x v="2"/>
    <x v="1"/>
    <s v="Konventionel"/>
    <x v="0"/>
    <s v="Halm"/>
    <n v="30103.638216868068"/>
    <n v="132456.00815421951"/>
    <n v="102044.10868201073"/>
    <n v="102044.10868201073"/>
  </r>
  <r>
    <x v="1"/>
    <x v="3"/>
    <x v="1"/>
    <s v="Konventionel"/>
    <x v="0"/>
    <s v="Græs"/>
    <n v="55295.481491502323"/>
    <n v="2743761.7916083452"/>
    <n v="0"/>
    <n v="2743761.7916083452"/>
  </r>
  <r>
    <x v="1"/>
    <x v="4"/>
    <x v="1"/>
    <s v="Konventionel"/>
    <x v="0"/>
    <s v="Grøntsager"/>
    <n v="6911.9351864377904"/>
    <n v="143422.65511858414"/>
    <n v="0"/>
    <n v="143422.65511858414"/>
  </r>
  <r>
    <x v="1"/>
    <x v="5"/>
    <x v="1"/>
    <s v="Konventionel"/>
    <x v="0"/>
    <s v="Kartofler"/>
    <n v="10090.173736930508"/>
    <n v="428538.75442508562"/>
    <n v="0"/>
    <n v="428538.75442508562"/>
  </r>
  <r>
    <x v="1"/>
    <x v="6"/>
    <x v="1"/>
    <s v="Konventionel"/>
    <x v="0"/>
    <s v="Roer"/>
    <n v="6205.4950465701122"/>
    <n v="504219.6273660849"/>
    <n v="0"/>
    <n v="504219.6273660849"/>
  </r>
  <r>
    <x v="1"/>
    <x v="7"/>
    <x v="1"/>
    <s v="Konventionel"/>
    <x v="0"/>
    <s v="Majs"/>
    <n v="33527.165200426622"/>
    <n v="1492294.123070989"/>
    <n v="0"/>
    <n v="1492294.123070989"/>
  </r>
  <r>
    <x v="1"/>
    <x v="8"/>
    <x v="1"/>
    <s v="Konventionel"/>
    <x v="0"/>
    <s v="Frugt"/>
    <n v="935.50341368192721"/>
    <n v="7942.423982159562"/>
    <n v="0"/>
    <n v="7942.423982159562"/>
  </r>
  <r>
    <x v="1"/>
    <x v="9"/>
    <x v="1"/>
    <s v="Konventionel"/>
    <x v="0"/>
    <s v="Øvrige"/>
    <n v="12887.84238679955"/>
    <n v="384005.42369948834"/>
    <n v="0"/>
    <n v="384005.42369948834"/>
  </r>
  <r>
    <x v="1"/>
    <x v="10"/>
    <x v="1"/>
    <s v="Konventionel"/>
    <x v="0"/>
    <s v="Halm"/>
    <n v="18613.983064687938"/>
    <n v="265972.61219089921"/>
    <n v="63734.278013491516"/>
    <n v="63734.278013491516"/>
  </r>
  <r>
    <x v="1"/>
    <x v="11"/>
    <x v="1"/>
    <s v="Konventionel"/>
    <x v="0"/>
    <s v="Juletræer"/>
    <n v="3496.0268537768229"/>
    <n v="174801.34268884116"/>
    <n v="0"/>
    <n v="174801.34268884116"/>
  </r>
  <r>
    <x v="1"/>
    <x v="12"/>
    <x v="1"/>
    <s v="Konventionel"/>
    <x v="0"/>
    <s v="Pil &amp; poppel"/>
    <n v="1344.3757621013274"/>
    <n v="32789.652734178722"/>
    <n v="0"/>
    <n v="32789.652734178722"/>
  </r>
  <r>
    <x v="1"/>
    <x v="13"/>
    <x v="1"/>
    <s v="Konventionel"/>
    <x v="0"/>
    <s v="Græs"/>
    <n v="32716.493215805542"/>
    <n v="451160.44144595845"/>
    <n v="0"/>
    <n v="451160.44144595845"/>
  </r>
  <r>
    <x v="1"/>
    <x v="0"/>
    <x v="2"/>
    <s v="Konventionel"/>
    <x v="0"/>
    <s v="Halm"/>
    <n v="202718.68836081229"/>
    <n v="1421058.005409294"/>
    <n v="808937.2695792407"/>
    <n v="808937.2695792407"/>
  </r>
  <r>
    <x v="1"/>
    <x v="1"/>
    <x v="2"/>
    <s v="Konventionel"/>
    <x v="0"/>
    <s v="Halm"/>
    <n v="16616.285931214126"/>
    <n v="64138.863694486536"/>
    <n v="33209.059817835587"/>
    <n v="33209.059817835587"/>
  </r>
  <r>
    <x v="1"/>
    <x v="2"/>
    <x v="2"/>
    <s v="Konventionel"/>
    <x v="0"/>
    <s v="Halm"/>
    <n v="27138.41963333889"/>
    <n v="119409.04638669112"/>
    <n v="111229.52670920278"/>
    <n v="111229.52670920278"/>
  </r>
  <r>
    <x v="1"/>
    <x v="3"/>
    <x v="2"/>
    <s v="Konventionel"/>
    <x v="0"/>
    <s v="Græs"/>
    <n v="68542.179466258254"/>
    <n v="3401062.9451157348"/>
    <n v="0"/>
    <n v="3401062.9451157348"/>
  </r>
  <r>
    <x v="1"/>
    <x v="4"/>
    <x v="2"/>
    <s v="Konventionel"/>
    <x v="0"/>
    <s v="Grøntsager"/>
    <n v="6231.107224205296"/>
    <n v="129295.47490225988"/>
    <n v="0"/>
    <n v="129295.47490225988"/>
  </r>
  <r>
    <x v="1"/>
    <x v="5"/>
    <x v="2"/>
    <s v="Konventionel"/>
    <x v="0"/>
    <s v="Kartofler"/>
    <n v="9096.2881985699169"/>
    <n v="386327.54163979221"/>
    <n v="0"/>
    <n v="386327.54163979221"/>
  </r>
  <r>
    <x v="1"/>
    <x v="6"/>
    <x v="2"/>
    <s v="Konventionel"/>
    <x v="0"/>
    <s v="Roer"/>
    <n v="21185.764562298005"/>
    <n v="1721422.4220470199"/>
    <n v="0"/>
    <n v="1721422.4220470199"/>
  </r>
  <r>
    <x v="1"/>
    <x v="7"/>
    <x v="2"/>
    <s v="Konventionel"/>
    <x v="0"/>
    <s v="Majs"/>
    <n v="30224.72804684523"/>
    <n v="1345302.6453650813"/>
    <n v="0"/>
    <n v="1345302.6453650813"/>
  </r>
  <r>
    <x v="1"/>
    <x v="8"/>
    <x v="2"/>
    <s v="Konventionel"/>
    <x v="0"/>
    <s v="Frugt"/>
    <n v="843.35600986246845"/>
    <n v="7160.0925237323581"/>
    <n v="0"/>
    <n v="7160.0925237323581"/>
  </r>
  <r>
    <x v="1"/>
    <x v="9"/>
    <x v="2"/>
    <s v="Konventionel"/>
    <x v="0"/>
    <s v="Øvrige"/>
    <n v="11618.385536712913"/>
    <n v="346180.75910822675"/>
    <n v="0"/>
    <n v="346180.75910822675"/>
  </r>
  <r>
    <x v="1"/>
    <x v="10"/>
    <x v="2"/>
    <s v="Konventionel"/>
    <x v="0"/>
    <s v="Halm"/>
    <n v="16780.499413998074"/>
    <n v="239774.21960138364"/>
    <n v="69471.26757395202"/>
    <n v="69471.26757395202"/>
  </r>
  <r>
    <x v="1"/>
    <x v="11"/>
    <x v="2"/>
    <s v="Konventionel"/>
    <x v="0"/>
    <s v="Juletræer"/>
    <n v="3151.6670218968543"/>
    <n v="157583.35109484274"/>
    <n v="0"/>
    <n v="157583.35109484274"/>
  </r>
  <r>
    <x v="1"/>
    <x v="12"/>
    <x v="2"/>
    <s v="Konventionel"/>
    <x v="0"/>
    <s v="Pil &amp; poppel"/>
    <n v="1211.9542931642154"/>
    <n v="29559.860808883306"/>
    <n v="0"/>
    <n v="29559.860808883306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362.239890257872"/>
    <n v="151995.73209257412"/>
    <n v="71559.590669183919"/>
    <n v="71559.590669183919"/>
  </r>
  <r>
    <x v="1"/>
    <x v="1"/>
    <x v="1"/>
    <s v="Økologisk"/>
    <x v="0"/>
    <s v="Halm"/>
    <n v="6472.447978051574"/>
    <n v="14240.680041309075"/>
    <n v="6098.1690944977336"/>
    <n v="6098.1690944977336"/>
  </r>
  <r>
    <x v="1"/>
    <x v="2"/>
    <x v="1"/>
    <s v="Økologisk"/>
    <x v="0"/>
    <s v="Halm"/>
    <n v="4698.2556754649595"/>
    <n v="11369.778734625204"/>
    <n v="8759.2775371552561"/>
    <n v="8759.2775371552561"/>
  </r>
  <r>
    <x v="1"/>
    <x v="3"/>
    <x v="1"/>
    <s v="Økologisk"/>
    <x v="0"/>
    <s v="Græs"/>
    <n v="8629.930637402098"/>
    <n v="334009.38341775589"/>
    <n v="0"/>
    <n v="334009.38341775589"/>
  </r>
  <r>
    <x v="1"/>
    <x v="4"/>
    <x v="1"/>
    <s v="Økologisk"/>
    <x v="0"/>
    <s v="Grøntsager"/>
    <n v="1078.7413296752623"/>
    <n v="12758.813076734164"/>
    <n v="0"/>
    <n v="12758.813076734164"/>
  </r>
  <r>
    <x v="1"/>
    <x v="5"/>
    <x v="1"/>
    <s v="Økologisk"/>
    <x v="0"/>
    <s v="Kartofler"/>
    <n v="1574.7669994053397"/>
    <n v="38122.609425445487"/>
    <n v="0"/>
    <n v="38122.609425445487"/>
  </r>
  <r>
    <x v="1"/>
    <x v="6"/>
    <x v="1"/>
    <s v="Økologisk"/>
    <x v="0"/>
    <s v="Roer"/>
    <n v="968.48766622770552"/>
    <n v="44855.144885341317"/>
    <n v="0"/>
    <n v="44855.144885341317"/>
  </r>
  <r>
    <x v="1"/>
    <x v="7"/>
    <x v="1"/>
    <s v="Økologisk"/>
    <x v="0"/>
    <s v="Majs"/>
    <n v="5232.5633549798777"/>
    <n v="193308.15779202813"/>
    <n v="0"/>
    <n v="193308.15779202813"/>
  </r>
  <r>
    <x v="1"/>
    <x v="8"/>
    <x v="1"/>
    <s v="Økologisk"/>
    <x v="0"/>
    <s v="Frugt"/>
    <n v="146.00342294457823"/>
    <n v="706.55436465569755"/>
    <n v="0"/>
    <n v="706.55436465569755"/>
  </r>
  <r>
    <x v="1"/>
    <x v="9"/>
    <x v="1"/>
    <s v="Økologisk"/>
    <x v="0"/>
    <s v="Øvrige"/>
    <n v="2011.3973667259413"/>
    <n v="34160.944917544075"/>
    <n v="0"/>
    <n v="34160.944917544075"/>
  </r>
  <r>
    <x v="1"/>
    <x v="10"/>
    <x v="1"/>
    <s v="Økologisk"/>
    <x v="0"/>
    <s v="Halm"/>
    <n v="2905.0725014252848"/>
    <n v="23660.800587386926"/>
    <n v="5669.7718995817013"/>
    <n v="5669.7718995817013"/>
  </r>
  <r>
    <x v="1"/>
    <x v="11"/>
    <x v="1"/>
    <s v="Økologisk"/>
    <x v="0"/>
    <s v="Juletræer"/>
    <n v="545.62268816170069"/>
    <n v="15550.246612608471"/>
    <n v="0"/>
    <n v="15550.246612608471"/>
  </r>
  <r>
    <x v="1"/>
    <x v="12"/>
    <x v="1"/>
    <s v="Økologisk"/>
    <x v="0"/>
    <s v="Pil &amp; poppel"/>
    <n v="209.81587038575631"/>
    <n v="2916.9523443873441"/>
    <n v="0"/>
    <n v="2916.9523443873441"/>
  </r>
  <r>
    <x v="1"/>
    <x v="13"/>
    <x v="1"/>
    <s v="Økologisk"/>
    <x v="0"/>
    <s v="Græs"/>
    <n v="5106.0422937962412"/>
    <n v="70412.323231450166"/>
    <n v="0"/>
    <n v="70412.323231450166"/>
  </r>
  <r>
    <x v="1"/>
    <x v="0"/>
    <x v="2"/>
    <s v="Økologisk"/>
    <x v="0"/>
    <s v="Halm"/>
    <n v="43000.93389471776"/>
    <n v="201962.48622332091"/>
    <n v="114967.14528262541"/>
    <n v="114967.14528262541"/>
  </r>
  <r>
    <x v="1"/>
    <x v="1"/>
    <x v="2"/>
    <s v="Økologisk"/>
    <x v="0"/>
    <s v="Halm"/>
    <n v="3524.6667126817838"/>
    <n v="7754.9717012424608"/>
    <n v="4015.2772325201204"/>
    <n v="4015.2772325201204"/>
  </r>
  <r>
    <x v="1"/>
    <x v="2"/>
    <x v="2"/>
    <s v="Økologisk"/>
    <x v="0"/>
    <s v="Halm"/>
    <n v="5756.6344676779472"/>
    <n v="13931.055411780635"/>
    <n v="12976.778116073661"/>
    <n v="12976.778116073661"/>
  </r>
  <r>
    <x v="1"/>
    <x v="3"/>
    <x v="2"/>
    <s v="Økologisk"/>
    <x v="0"/>
    <s v="Græs"/>
    <n v="14539.250189812357"/>
    <n v="562721.32364642154"/>
    <n v="0"/>
    <n v="562721.32364642154"/>
  </r>
  <r>
    <x v="1"/>
    <x v="4"/>
    <x v="2"/>
    <s v="Økologisk"/>
    <x v="0"/>
    <s v="Grøntsager"/>
    <n v="1321.7500172556688"/>
    <n v="15632.998329091424"/>
    <n v="0"/>
    <n v="15632.998329091424"/>
  </r>
  <r>
    <x v="1"/>
    <x v="5"/>
    <x v="2"/>
    <s v="Økologisk"/>
    <x v="0"/>
    <s v="Kartofler"/>
    <n v="1929.5156784845281"/>
    <n v="46710.511852811236"/>
    <n v="0"/>
    <n v="46710.511852811236"/>
  </r>
  <r>
    <x v="1"/>
    <x v="6"/>
    <x v="2"/>
    <s v="Økologisk"/>
    <x v="0"/>
    <s v="Roer"/>
    <n v="4493.9500586692739"/>
    <n v="208135.6201202306"/>
    <n v="0"/>
    <n v="208135.6201202306"/>
  </r>
  <r>
    <x v="1"/>
    <x v="7"/>
    <x v="2"/>
    <s v="Økologisk"/>
    <x v="0"/>
    <s v="Majs"/>
    <n v="6411.3059493308074"/>
    <n v="236854.79907791284"/>
    <n v="0"/>
    <n v="236854.79907791284"/>
  </r>
  <r>
    <x v="1"/>
    <x v="8"/>
    <x v="2"/>
    <s v="Økologisk"/>
    <x v="0"/>
    <s v="Frugt"/>
    <n v="178.89369906173573"/>
    <n v="865.72027786945773"/>
    <n v="0"/>
    <n v="865.72027786945773"/>
  </r>
  <r>
    <x v="1"/>
    <x v="9"/>
    <x v="2"/>
    <s v="Økologisk"/>
    <x v="0"/>
    <s v="Øvrige"/>
    <n v="2464.5060229391024"/>
    <n v="41856.400873994688"/>
    <n v="0"/>
    <n v="41856.400873994688"/>
  </r>
  <r>
    <x v="1"/>
    <x v="10"/>
    <x v="2"/>
    <s v="Økologisk"/>
    <x v="0"/>
    <s v="Halm"/>
    <n v="3559.4998756965615"/>
    <n v="28990.882915440023"/>
    <n v="8399.7078066687445"/>
    <n v="8399.7078066687445"/>
  </r>
  <r>
    <x v="1"/>
    <x v="11"/>
    <x v="2"/>
    <s v="Økologisk"/>
    <x v="0"/>
    <s v="Juletræer"/>
    <n v="668.53542888721154"/>
    <n v="19053.259723285526"/>
    <n v="0"/>
    <n v="19053.259723285526"/>
  </r>
  <r>
    <x v="1"/>
    <x v="12"/>
    <x v="2"/>
    <s v="Økologisk"/>
    <x v="0"/>
    <s v="Pil &amp; poppel"/>
    <n v="257.08121370150025"/>
    <n v="3574.0558978013451"/>
    <n v="0"/>
    <n v="3574.0558978013451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x v="0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x v="0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x v="0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x v="0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x v="0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x v="0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x v="0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x v="0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x v="0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x v="0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x v="0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x v="0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x v="0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x v="0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x v="0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x v="0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  <n v="0"/>
    <x v="1"/>
  </r>
  <r>
    <x v="32"/>
    <s v="Pyrolyseprodukter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  <n v="0"/>
    <x v="1"/>
  </r>
  <r>
    <x v="33"/>
    <s v="Pyrolyseprodukter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  <n v="0"/>
    <x v="1"/>
  </r>
  <r>
    <x v="38"/>
    <s v="Græs og urter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  <n v="0"/>
    <x v="1"/>
  </r>
  <r>
    <x v="47"/>
    <s v="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  <n v="1"/>
    <x v="1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  <n v="1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  <n v="1"/>
    <x v="1"/>
  </r>
  <r>
    <x v="23"/>
    <s v="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  <n v="1"/>
    <x v="1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  <n v="0"/>
    <x v="1"/>
  </r>
  <r>
    <x v="32"/>
    <s v="Pyrolyseprodukter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  <n v="0"/>
    <x v="1"/>
  </r>
  <r>
    <x v="33"/>
    <s v="Pyrolyseprodukter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  <n v="0"/>
    <x v="1"/>
  </r>
  <r>
    <x v="38"/>
    <s v="Græs og urter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  <n v="1"/>
    <x v="1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  <n v="0"/>
    <x v="1"/>
  </r>
  <r>
    <x v="47"/>
    <s v="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  <n v="0"/>
    <x v="0"/>
  </r>
  <r>
    <x v="23"/>
    <s v="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  <n v="0"/>
    <x v="1"/>
  </r>
  <r>
    <x v="32"/>
    <s v="Pyrolyseprodukter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  <n v="0"/>
    <x v="1"/>
  </r>
  <r>
    <x v="33"/>
    <s v="Pyrolyseprodukter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  <n v="0"/>
    <x v="1"/>
  </r>
  <r>
    <x v="38"/>
    <s v="Græs og urter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  <n v="0"/>
    <x v="1"/>
  </r>
  <r>
    <x v="47"/>
    <s v="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  <n v="1"/>
    <x v="1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  <n v="1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  <n v="1"/>
    <x v="1"/>
  </r>
  <r>
    <x v="23"/>
    <s v="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  <n v="1"/>
    <x v="1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  <n v="0"/>
    <x v="1"/>
  </r>
  <r>
    <x v="32"/>
    <s v="Pyrolyseprodukter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  <n v="0"/>
    <x v="1"/>
  </r>
  <r>
    <x v="33"/>
    <s v="Pyrolyseprodukter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  <n v="0"/>
    <x v="1"/>
  </r>
  <r>
    <x v="38"/>
    <s v="Græs og urter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  <n v="1"/>
    <x v="1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  <n v="0"/>
    <x v="1"/>
  </r>
  <r>
    <x v="47"/>
    <s v="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20623.6714837244"/>
    <s v="CO2 - atmosfære"/>
    <x v="0"/>
  </r>
  <r>
    <s v="Vestdanmark"/>
    <x v="1"/>
    <n v="5058223.5325662289"/>
    <s v="Landbrug"/>
    <x v="1"/>
  </r>
  <r>
    <s v="Vestdanmark"/>
    <x v="1"/>
    <n v="3759929.4878763896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501649.751181493"/>
    <s v="Skov"/>
    <x v="4"/>
  </r>
  <r>
    <s v="Vestdanmark"/>
    <x v="1"/>
    <n v="-517308.96742545278"/>
    <s v="HWP"/>
    <x v="5"/>
  </r>
  <r>
    <s v="Vestdanmark"/>
    <x v="1"/>
    <n v="-430442.57059981115"/>
    <s v="Biogasanlæg"/>
    <x v="6"/>
  </r>
  <r>
    <s v="Vestdanmark"/>
    <x v="1"/>
    <n v="-1148421.9823713994"/>
    <s v="Pyrolyseproces"/>
    <x v="7"/>
  </r>
  <r>
    <s v="Vestdanmark"/>
    <x v="2"/>
    <n v="8851.9422876981553"/>
    <s v="CO2 - atmosfære"/>
    <x v="0"/>
  </r>
  <r>
    <s v="Vestdanmark"/>
    <x v="2"/>
    <n v="5037270.6270728866"/>
    <s v="Landbrug"/>
    <x v="1"/>
  </r>
  <r>
    <s v="Vestdanmark"/>
    <x v="2"/>
    <n v="3178100.029354827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644383.8726877095"/>
    <s v="Skov"/>
    <x v="4"/>
  </r>
  <r>
    <s v="Vestdanmark"/>
    <x v="2"/>
    <n v="-1830284.5644875036"/>
    <s v="HWP"/>
    <x v="5"/>
  </r>
  <r>
    <s v="Vestdanmark"/>
    <x v="2"/>
    <n v="-502600.52422498411"/>
    <s v="Biogasanlæg"/>
    <x v="6"/>
  </r>
  <r>
    <s v="Vestdanmark"/>
    <x v="2"/>
    <n v="-1191787.2590405655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61226.81049410556"/>
    <s v="CO2 - atmosfære"/>
    <x v="0"/>
  </r>
  <r>
    <s v="Østdanmark"/>
    <x v="1"/>
    <n v="449093.3493058047"/>
    <s v="Landbrug"/>
    <x v="1"/>
  </r>
  <r>
    <s v="Østdanmark"/>
    <x v="1"/>
    <n v="1201585.677306333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389920.30237453687"/>
    <s v="Skov"/>
    <x v="4"/>
  </r>
  <r>
    <s v="Østdanmark"/>
    <x v="1"/>
    <n v="-139376.06530548685"/>
    <s v="HWP"/>
    <x v="5"/>
  </r>
  <r>
    <s v="Østdanmark"/>
    <x v="1"/>
    <n v="-41216.412200152758"/>
    <s v="Biogasanlæg"/>
    <x v="6"/>
  </r>
  <r>
    <s v="Østdanmark"/>
    <x v="1"/>
    <n v="-417978.01762860018"/>
    <s v="Pyrolyseproces"/>
    <x v="7"/>
  </r>
  <r>
    <s v="Østdanmark"/>
    <x v="2"/>
    <n v="57521.358274450933"/>
    <s v="CO2 - atmosfære"/>
    <x v="0"/>
  </r>
  <r>
    <s v="Østdanmark"/>
    <x v="2"/>
    <n v="447960.28277222451"/>
    <s v="Landbrug"/>
    <x v="1"/>
  </r>
  <r>
    <s v="Østdanmark"/>
    <x v="2"/>
    <n v="1146218.0999285891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667401.10832846817"/>
    <s v="Skov"/>
    <x v="4"/>
  </r>
  <r>
    <s v="Østdanmark"/>
    <x v="2"/>
    <n v="-303372.66354636679"/>
    <s v="HWP"/>
    <x v="5"/>
  </r>
  <r>
    <s v="Østdanmark"/>
    <x v="2"/>
    <n v="-47926.24035900968"/>
    <s v="Biogasanlæg"/>
    <x v="6"/>
  </r>
  <r>
    <s v="Østdanmark"/>
    <x v="2"/>
    <n v="-505146.07429276785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91979.43166723347"/>
    <n v="64498.475475191975"/>
    <n v="0"/>
    <n v="43439.71273733316"/>
    <n v="0"/>
    <n v="0"/>
    <n v="0"/>
    <n v="0"/>
    <n v="484041.243454708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26358.4533950178"/>
    <n v="0"/>
    <n v="0"/>
    <n v="0"/>
    <n v="0"/>
    <n v="0"/>
    <n v="0"/>
    <n v="0"/>
    <n v="1026358.4533950178"/>
    <n v="0"/>
    <n v="0"/>
    <n v="0"/>
    <n v="0"/>
    <n v="0"/>
    <n v="0"/>
    <n v="0"/>
    <n v="0"/>
    <n v="0"/>
    <n v="0"/>
  </r>
  <r>
    <x v="11"/>
    <x v="10"/>
    <n v="0"/>
    <x v="1"/>
    <s v="Vestdanmark"/>
    <n v="29728.844675761778"/>
    <n v="0"/>
    <n v="0"/>
    <n v="257923.29437791562"/>
    <n v="0"/>
    <n v="0"/>
    <n v="0"/>
    <n v="0"/>
    <n v="-228194.4497021538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49654.970687632"/>
    <n v="11930939.715450084"/>
    <n v="0"/>
    <n v="0"/>
    <n v="0"/>
    <n v="0"/>
    <n v="0"/>
    <n v="2301995.9904044634"/>
    <n v="-783280.73516691476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84008.32505294203"/>
    <n v="0"/>
    <n v="0"/>
    <n v="270140.71358529059"/>
    <n v="0"/>
    <n v="0"/>
    <n v="0"/>
    <n v="0"/>
    <n v="313867.61146765144"/>
    <n v="0"/>
    <n v="0"/>
    <n v="0"/>
    <n v="0"/>
    <n v="0"/>
    <n v="0"/>
    <n v="0"/>
    <n v="0"/>
    <n v="0"/>
    <n v="0"/>
  </r>
  <r>
    <x v="16"/>
    <x v="5"/>
    <n v="1"/>
    <x v="1"/>
    <s v="Vestdanmark"/>
    <n v="3264798.007978417"/>
    <n v="696107.27987490175"/>
    <n v="726974.95402379602"/>
    <n v="0"/>
    <n v="0"/>
    <n v="0"/>
    <n v="82131.531426910311"/>
    <n v="1759584.2426528081"/>
    <n v="0"/>
    <n v="0"/>
    <n v="82131.531426910311"/>
    <n v="0"/>
    <n v="0.84889560316507295"/>
    <n v="0"/>
    <n v="0.84889560316507295"/>
    <n v="0"/>
    <n v="69811.801712873756"/>
    <n v="0"/>
    <n v="69811.801712873756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60091.35045141261"/>
    <n v="0"/>
    <n v="0"/>
    <n v="0"/>
    <n v="0"/>
    <n v="0"/>
    <n v="0"/>
    <n v="0"/>
    <n v="660091.35045141261"/>
    <n v="0"/>
    <n v="0"/>
    <n v="0"/>
    <n v="0"/>
    <n v="0"/>
    <n v="0"/>
    <n v="0"/>
    <n v="0"/>
    <n v="0"/>
    <n v="0"/>
  </r>
  <r>
    <x v="21"/>
    <x v="10"/>
    <n v="0"/>
    <x v="1"/>
    <s v="Vestdanmark"/>
    <n v="1629278.4215668719"/>
    <n v="0"/>
    <n v="0"/>
    <n v="123531.68309679118"/>
    <n v="0"/>
    <n v="0"/>
    <n v="0"/>
    <n v="0"/>
    <n v="1505746.7384700808"/>
    <n v="0"/>
    <n v="0"/>
    <n v="0"/>
    <n v="0"/>
    <n v="0"/>
    <n v="0"/>
    <n v="0"/>
    <n v="0"/>
    <n v="0"/>
    <n v="0"/>
  </r>
  <r>
    <x v="22"/>
    <x v="5"/>
    <n v="1"/>
    <x v="1"/>
    <s v="Vestdanmark"/>
    <n v="5554587.0358191766"/>
    <n v="5880011.5738482485"/>
    <n v="0"/>
    <n v="295933.04302308214"/>
    <n v="0"/>
    <n v="0"/>
    <n v="0"/>
    <n v="0"/>
    <n v="-621357.5810521543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19524.2171521649"/>
    <n v="0"/>
    <n v="0"/>
    <n v="-519524.217152164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5889664.8799592536"/>
    <n v="5742281.5453988183"/>
    <n v="0"/>
    <n v="0"/>
    <n v="0"/>
    <n v="0"/>
    <n v="0"/>
    <n v="0"/>
    <n v="147383.33456043527"/>
    <n v="147383.33456043527"/>
    <n v="0"/>
    <n v="0.52910617107196267"/>
    <n v="0.52910617107196267"/>
    <n v="0"/>
    <n v="0.52910617107196267"/>
    <n v="44215.000368130575"/>
    <n v="44215.000368130575"/>
    <n v="0"/>
    <n v="44215.000368130575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47922.491901034"/>
    <n v="0"/>
    <n v="0"/>
    <n v="0"/>
    <n v="0"/>
    <n v="0"/>
    <n v="0"/>
    <n v="0"/>
    <n v="1447922.491901034"/>
    <n v="0"/>
    <n v="0"/>
    <n v="0"/>
    <n v="0"/>
    <n v="0"/>
    <n v="0"/>
    <n v="0"/>
    <n v="0"/>
    <n v="0"/>
    <n v="0"/>
  </r>
  <r>
    <x v="31"/>
    <x v="7"/>
    <n v="1"/>
    <x v="1"/>
    <s v="Vestdanmark"/>
    <n v="137787.71897449746"/>
    <n v="0"/>
    <n v="0"/>
    <n v="0"/>
    <n v="0"/>
    <n v="0"/>
    <n v="137787.71897449746"/>
    <n v="0"/>
    <n v="0"/>
    <n v="0"/>
    <n v="137787.71897449746"/>
    <n v="0"/>
    <n v="2.5352940291307529"/>
    <n v="0"/>
    <n v="2.5352940291307529"/>
    <n v="0"/>
    <n v="57181.903374416448"/>
    <n v="0"/>
    <n v="57181.903374416448"/>
  </r>
  <r>
    <x v="32"/>
    <x v="8"/>
    <n v="1"/>
    <x v="1"/>
    <s v="Vestdanmark"/>
    <n v="985367.17588557256"/>
    <n v="0"/>
    <n v="0"/>
    <n v="0"/>
    <n v="0"/>
    <n v="0"/>
    <n v="985367.17588557256"/>
    <n v="0"/>
    <n v="0"/>
    <n v="0"/>
    <n v="985367.17588557256"/>
    <n v="0"/>
    <n v="8.8302975633288501"/>
    <n v="0"/>
    <n v="8.8302975633288501"/>
    <n v="0"/>
    <n v="0"/>
    <n v="0"/>
    <n v="0"/>
  </r>
  <r>
    <x v="33"/>
    <x v="8"/>
    <n v="1"/>
    <x v="1"/>
    <s v="Vestdanmark"/>
    <n v="246341.79397139314"/>
    <n v="0"/>
    <n v="0"/>
    <n v="0"/>
    <n v="0"/>
    <n v="0"/>
    <n v="246341.79397139314"/>
    <n v="0"/>
    <n v="0"/>
    <n v="0"/>
    <n v="246341.79397139314"/>
    <n v="0"/>
    <n v="8.195439568579717"/>
    <n v="0"/>
    <n v="8.19543956857971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91682.75270918722"/>
    <n v="0"/>
    <n v="0"/>
    <n v="0"/>
    <n v="0"/>
    <n v="0"/>
    <n v="0"/>
    <n v="491682.7527091872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5841.37635459361"/>
    <n v="262373.56843565725"/>
    <n v="0"/>
    <n v="0"/>
    <n v="0"/>
    <n v="0"/>
    <n v="0"/>
    <n v="0"/>
    <n v="-16532.192081063637"/>
    <n v="0"/>
    <n v="0"/>
    <n v="0"/>
    <n v="0"/>
    <n v="0"/>
    <n v="0"/>
    <n v="0"/>
    <n v="0"/>
    <n v="0"/>
    <n v="0"/>
  </r>
  <r>
    <x v="37"/>
    <x v="9"/>
    <n v="1"/>
    <x v="1"/>
    <s v="Vestdanmark"/>
    <n v="157338.48086693991"/>
    <n v="0"/>
    <n v="0"/>
    <n v="0"/>
    <n v="0"/>
    <n v="0"/>
    <n v="157338.48086693991"/>
    <n v="0"/>
    <n v="0"/>
    <n v="0"/>
    <n v="157338.48086693991"/>
    <n v="0"/>
    <n v="5.5068468303428961"/>
    <n v="0"/>
    <n v="5.5068468303428961"/>
    <n v="0"/>
    <n v="0"/>
    <n v="0"/>
    <n v="0"/>
  </r>
  <r>
    <x v="38"/>
    <x v="4"/>
    <n v="1"/>
    <x v="1"/>
    <s v="Vestdanmark"/>
    <n v="1841748.7573203472"/>
    <n v="1824139.6252331052"/>
    <n v="0"/>
    <n v="0"/>
    <n v="0"/>
    <n v="0"/>
    <n v="0"/>
    <n v="0"/>
    <n v="17609.132087242091"/>
    <n v="17609.132087242091"/>
    <n v="0"/>
    <n v="4.7791888850058528E-2"/>
    <n v="4.7791888850058528E-2"/>
    <n v="0"/>
    <n v="4.7791888850058528E-2"/>
    <n v="3521.8264174484184"/>
    <n v="3521.8264174484184"/>
    <n v="0"/>
    <n v="3521.8264174484184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7882.3950256575"/>
    <n v="0"/>
    <n v="0"/>
    <n v="0"/>
    <n v="0"/>
    <n v="0"/>
    <n v="2237882.3950256575"/>
    <n v="0"/>
    <n v="0"/>
    <n v="0"/>
    <n v="2237882.3950256575"/>
    <n v="0"/>
    <n v="32.43490268413646"/>
    <n v="0"/>
    <n v="32.43490268413646"/>
    <n v="0"/>
    <n v="1106819.3345397732"/>
    <n v="0"/>
    <n v="1106819.3345397732"/>
  </r>
  <r>
    <x v="47"/>
    <x v="10"/>
    <n v="0"/>
    <x v="1"/>
    <s v="Vestdanmark"/>
    <n v="617418.25015845289"/>
    <n v="0"/>
    <n v="0"/>
    <n v="0"/>
    <n v="0"/>
    <n v="0"/>
    <n v="0"/>
    <n v="617418.2501584528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9239.68000087165"/>
    <n v="64498.475475191975"/>
    <n v="0"/>
    <n v="90266.583697186172"/>
    <n v="0"/>
    <n v="0"/>
    <n v="0"/>
    <n v="0"/>
    <n v="74474.62082849349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56980.65428316663"/>
    <n v="0"/>
    <n v="0"/>
    <n v="0"/>
    <n v="0"/>
    <n v="0"/>
    <n v="0"/>
    <n v="0"/>
    <n v="856980.65428316663"/>
    <n v="0"/>
    <n v="0"/>
    <n v="0"/>
    <n v="0"/>
    <n v="0"/>
    <n v="0"/>
    <n v="0"/>
    <n v="0"/>
    <n v="0"/>
    <n v="0"/>
  </r>
  <r>
    <x v="11"/>
    <x v="10"/>
    <n v="0"/>
    <x v="2"/>
    <s v="Vestdanmark"/>
    <n v="25590.994669556865"/>
    <n v="0"/>
    <n v="0"/>
    <n v="267978.92035102146"/>
    <n v="0"/>
    <n v="0"/>
    <n v="0"/>
    <n v="0"/>
    <n v="-242387.9256814646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2638867.190239046"/>
    <n v="11930939.715450084"/>
    <n v="0"/>
    <n v="0"/>
    <n v="0"/>
    <n v="0"/>
    <n v="0"/>
    <n v="3568093.7851269185"/>
    <n v="-2860166.310337957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17140.09776658902"/>
    <n v="0"/>
    <n v="0"/>
    <n v="280672.65868343826"/>
    <n v="0"/>
    <n v="0"/>
    <n v="0"/>
    <n v="0"/>
    <n v="236467.43908315076"/>
    <n v="0"/>
    <n v="0"/>
    <n v="0"/>
    <n v="0"/>
    <n v="0"/>
    <n v="0"/>
    <n v="0"/>
    <n v="0"/>
    <n v="0"/>
    <n v="0"/>
  </r>
  <r>
    <x v="16"/>
    <x v="5"/>
    <n v="1"/>
    <x v="2"/>
    <s v="Vestdanmark"/>
    <n v="3225202.1888771597"/>
    <n v="696107.27987490175"/>
    <n v="724013.50560011622"/>
    <n v="0"/>
    <n v="0"/>
    <n v="0"/>
    <n v="0"/>
    <n v="1826027.465332838"/>
    <n v="-20946.06193069648"/>
    <n v="0"/>
    <n v="0"/>
    <n v="0"/>
    <n v="0"/>
    <n v="0"/>
    <n v="0"/>
    <n v="0"/>
    <n v="0"/>
    <n v="0"/>
    <n v="0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63221.03164344118"/>
    <n v="0"/>
    <n v="0"/>
    <n v="0"/>
    <n v="0"/>
    <n v="0"/>
    <n v="0"/>
    <n v="0"/>
    <n v="563221.03164344118"/>
    <n v="0"/>
    <n v="0"/>
    <n v="0"/>
    <n v="0"/>
    <n v="0"/>
    <n v="0"/>
    <n v="0"/>
    <n v="0"/>
    <n v="0"/>
    <n v="0"/>
  </r>
  <r>
    <x v="21"/>
    <x v="10"/>
    <n v="0"/>
    <x v="2"/>
    <s v="Vestdanmark"/>
    <n v="1380779.0927334789"/>
    <n v="0"/>
    <n v="0"/>
    <n v="128347.79869443661"/>
    <n v="0"/>
    <n v="0"/>
    <n v="0"/>
    <n v="0"/>
    <n v="1252431.2940390422"/>
    <n v="0"/>
    <n v="0"/>
    <n v="0"/>
    <n v="0"/>
    <n v="0"/>
    <n v="0"/>
    <n v="0"/>
    <n v="0"/>
    <n v="0"/>
    <n v="0"/>
  </r>
  <r>
    <x v="22"/>
    <x v="5"/>
    <n v="1"/>
    <x v="2"/>
    <s v="Vestdanmark"/>
    <n v="5175140.4844207428"/>
    <n v="5835911.4870443856"/>
    <n v="0"/>
    <n v="307470.55071854044"/>
    <n v="0"/>
    <n v="0"/>
    <n v="0"/>
    <n v="0"/>
    <n v="-968241.55334218312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23942.25935498846"/>
    <n v="0"/>
    <n v="0"/>
    <n v="-323942.25935498846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044845.1425454961"/>
    <n v="6191677.4924300304"/>
    <n v="0"/>
    <n v="0"/>
    <n v="0"/>
    <n v="0"/>
    <n v="0"/>
    <n v="0"/>
    <n v="-1146832.3498845343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37289.8718386632"/>
    <n v="0"/>
    <n v="0"/>
    <n v="0"/>
    <n v="0"/>
    <n v="0"/>
    <n v="0"/>
    <n v="0"/>
    <n v="1237289.8718386632"/>
    <n v="0"/>
    <n v="0"/>
    <n v="0"/>
    <n v="0"/>
    <n v="0"/>
    <n v="0"/>
    <n v="0"/>
    <n v="0"/>
    <n v="0"/>
    <n v="0"/>
  </r>
  <r>
    <x v="31"/>
    <x v="7"/>
    <n v="1"/>
    <x v="2"/>
    <s v="Vestdanmark"/>
    <n v="105650.3443056977"/>
    <n v="0"/>
    <n v="0"/>
    <n v="0"/>
    <n v="0"/>
    <n v="0"/>
    <n v="105650.3443056977"/>
    <n v="0"/>
    <n v="0"/>
    <n v="0"/>
    <n v="105650.3443056977"/>
    <n v="0"/>
    <n v="1.9439663352248373"/>
    <n v="0"/>
    <n v="1.9439663352248373"/>
    <n v="0"/>
    <n v="43844.892886864545"/>
    <n v="0"/>
    <n v="43844.892886864545"/>
  </r>
  <r>
    <x v="32"/>
    <x v="8"/>
    <n v="1"/>
    <x v="2"/>
    <s v="Vestdanmark"/>
    <n v="1022575.3805863893"/>
    <n v="0"/>
    <n v="0"/>
    <n v="0"/>
    <n v="0"/>
    <n v="0"/>
    <n v="1022575.3805863893"/>
    <n v="0"/>
    <n v="0"/>
    <n v="0"/>
    <n v="1022575.3805863893"/>
    <n v="0"/>
    <n v="9.1637362320263129"/>
    <n v="0"/>
    <n v="9.1637362320263129"/>
    <n v="0"/>
    <n v="0"/>
    <n v="0"/>
    <n v="0"/>
  </r>
  <r>
    <x v="33"/>
    <x v="8"/>
    <n v="1"/>
    <x v="2"/>
    <s v="Vestdanmark"/>
    <n v="255643.84514659733"/>
    <n v="0"/>
    <n v="0"/>
    <n v="0"/>
    <n v="0"/>
    <n v="0"/>
    <n v="255643.84514659733"/>
    <n v="0"/>
    <n v="0"/>
    <n v="0"/>
    <n v="255643.84514659733"/>
    <n v="0"/>
    <n v="8.5049055225342247"/>
    <n v="0"/>
    <n v="8.5049055225342247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25166.38734482112"/>
    <n v="0"/>
    <n v="0"/>
    <n v="0"/>
    <n v="0"/>
    <n v="0"/>
    <n v="0"/>
    <n v="425166.38734482112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2583.19367241056"/>
    <n v="262373.56843565725"/>
    <n v="0"/>
    <n v="0"/>
    <n v="0"/>
    <n v="0"/>
    <n v="0"/>
    <n v="0"/>
    <n v="-49790.374763246684"/>
    <n v="0"/>
    <n v="0"/>
    <n v="0"/>
    <n v="0"/>
    <n v="0"/>
    <n v="0"/>
    <n v="0"/>
    <n v="0"/>
    <n v="0"/>
    <n v="0"/>
  </r>
  <r>
    <x v="37"/>
    <x v="9"/>
    <n v="1"/>
    <x v="2"/>
    <s v="Vestdanmark"/>
    <n v="136053.24395034276"/>
    <n v="0"/>
    <n v="0"/>
    <n v="0"/>
    <n v="0"/>
    <n v="0"/>
    <n v="136053.24395034276"/>
    <n v="0"/>
    <n v="0"/>
    <n v="0"/>
    <n v="136053.24395034276"/>
    <n v="0"/>
    <n v="4.7618635382619958"/>
    <n v="0"/>
    <n v="4.7618635382619958"/>
    <n v="0"/>
    <n v="0"/>
    <n v="0"/>
    <n v="0"/>
  </r>
  <r>
    <x v="38"/>
    <x v="4"/>
    <n v="1"/>
    <x v="2"/>
    <s v="Vestdanmark"/>
    <n v="6152561.8392005628"/>
    <n v="7470286.0842879545"/>
    <n v="0"/>
    <n v="0"/>
    <n v="0"/>
    <n v="0"/>
    <n v="0"/>
    <n v="0"/>
    <n v="-1317724.2450873917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1506.1268809466"/>
    <n v="0"/>
    <n v="0"/>
    <n v="0"/>
    <n v="0"/>
    <n v="0"/>
    <n v="2561506.1268809466"/>
    <n v="0"/>
    <n v="0"/>
    <n v="0"/>
    <n v="2561506.1268809466"/>
    <n v="0"/>
    <n v="37.125365539707126"/>
    <n v="0"/>
    <n v="37.125365539707126"/>
    <n v="0"/>
    <n v="1266878.2385865347"/>
    <n v="0"/>
    <n v="1266878.2385865347"/>
  </r>
  <r>
    <x v="47"/>
    <x v="10"/>
    <n v="0"/>
    <x v="2"/>
    <s v="Vestdanmark"/>
    <n v="771203.27679740218"/>
    <n v="0"/>
    <n v="0"/>
    <n v="0"/>
    <n v="0"/>
    <n v="0"/>
    <n v="0"/>
    <n v="771203.2767974021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6894.80647162997"/>
    <n v="7916.616753740097"/>
    <n v="0"/>
    <n v="37612.453499504722"/>
    <n v="0"/>
    <n v="0"/>
    <n v="0"/>
    <n v="0"/>
    <n v="141365.736218385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7412.1891545814"/>
    <n v="0"/>
    <n v="0"/>
    <n v="0"/>
    <n v="0"/>
    <n v="0"/>
    <n v="0"/>
    <n v="0"/>
    <n v="327412.1891545814"/>
    <n v="0"/>
    <n v="0"/>
    <n v="0"/>
    <n v="0"/>
    <n v="0"/>
    <n v="0"/>
    <n v="0"/>
    <n v="0"/>
    <n v="0"/>
    <n v="0"/>
  </r>
  <r>
    <x v="11"/>
    <x v="10"/>
    <n v="0"/>
    <x v="1"/>
    <s v="Østdanmark"/>
    <n v="9455.0372358026925"/>
    <n v="0"/>
    <n v="0"/>
    <n v="223323.94265330929"/>
    <n v="0"/>
    <n v="0"/>
    <n v="0"/>
    <n v="0"/>
    <n v="-213868.9054175066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43026.9913582187"/>
    <n v="1464417.2058845724"/>
    <n v="0"/>
    <n v="0"/>
    <n v="0"/>
    <n v="0"/>
    <n v="0"/>
    <n v="282549.62447427149"/>
    <n v="2196060.1609993749"/>
    <n v="1412779.4258324602"/>
    <n v="0"/>
    <n v="2.5993375461034978"/>
    <n v="2.5993375461034978"/>
    <n v="0"/>
    <n v="2.5993375461034978"/>
    <n v="395578.23923308891"/>
    <n v="395578.23923308891"/>
    <n v="0"/>
    <n v="395578.23923308891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6404.46166036319"/>
    <n v="0"/>
    <n v="0"/>
    <n v="233902.44520004498"/>
    <n v="0"/>
    <n v="0"/>
    <n v="0"/>
    <n v="0"/>
    <n v="-47497.983539681794"/>
    <n v="0"/>
    <n v="0"/>
    <n v="0"/>
    <n v="0"/>
    <n v="0"/>
    <n v="0"/>
    <n v="0"/>
    <n v="0"/>
    <n v="0"/>
    <n v="0"/>
  </r>
  <r>
    <x v="16"/>
    <x v="5"/>
    <n v="1"/>
    <x v="1"/>
    <s v="Østdanmark"/>
    <n v="1027183.2985546169"/>
    <n v="85441.004824644522"/>
    <n v="103520.85960187271"/>
    <n v="0"/>
    <n v="0"/>
    <n v="0"/>
    <n v="197805.67678090825"/>
    <n v="640415.75734719133"/>
    <n v="0"/>
    <n v="0"/>
    <n v="197805.67678090825"/>
    <n v="0"/>
    <n v="2.044481167988875"/>
    <n v="0"/>
    <n v="2.044481167988875"/>
    <n v="0"/>
    <n v="168134.82526377201"/>
    <n v="0"/>
    <n v="168134.82526377201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5527.71234563988"/>
    <n v="0"/>
    <n v="0"/>
    <n v="0"/>
    <n v="0"/>
    <n v="0"/>
    <n v="0"/>
    <n v="0"/>
    <n v="205527.71234563988"/>
    <n v="0"/>
    <n v="0"/>
    <n v="0"/>
    <n v="0"/>
    <n v="0"/>
    <n v="0"/>
    <n v="0"/>
    <n v="0"/>
    <n v="0"/>
    <n v="0"/>
  </r>
  <r>
    <x v="21"/>
    <x v="10"/>
    <n v="0"/>
    <x v="1"/>
    <s v="Østdanmark"/>
    <n v="500889.63841808488"/>
    <n v="0"/>
    <n v="0"/>
    <n v="106960.41463921656"/>
    <n v="0"/>
    <n v="0"/>
    <n v="0"/>
    <n v="0"/>
    <n v="393929.22377886833"/>
    <n v="0"/>
    <n v="0"/>
    <n v="0"/>
    <n v="0"/>
    <n v="0"/>
    <n v="0"/>
    <n v="0"/>
    <n v="0"/>
    <n v="0"/>
    <n v="0"/>
  </r>
  <r>
    <x v="22"/>
    <x v="5"/>
    <n v="1"/>
    <x v="1"/>
    <s v="Østdanmark"/>
    <n v="1743254.4513111422"/>
    <n v="721719.35529882624"/>
    <n v="0"/>
    <n v="256234.83946537593"/>
    <n v="0"/>
    <n v="0"/>
    <n v="0"/>
    <n v="0"/>
    <n v="765300.25654693996"/>
    <n v="143942.67549478565"/>
    <n v="0"/>
    <n v="0.4929835115950717"/>
    <n v="0.4929835115950717"/>
    <n v="0"/>
    <n v="0.4929835115950717"/>
    <n v="44622.22940338355"/>
    <n v="44622.22940338355"/>
    <n v="0"/>
    <n v="44622.22940338355"/>
  </r>
  <r>
    <x v="23"/>
    <x v="10"/>
    <n v="0"/>
    <x v="1"/>
    <s v="Østdanmark"/>
    <n v="0"/>
    <n v="0"/>
    <n v="0"/>
    <n v="0"/>
    <n v="0"/>
    <n v="325508.2417873693"/>
    <n v="0"/>
    <n v="0"/>
    <n v="-325508.241787369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08652.0356475962"/>
    <n v="704814.2138566036"/>
    <n v="0"/>
    <n v="0"/>
    <n v="0"/>
    <n v="0"/>
    <n v="0"/>
    <n v="0"/>
    <n v="1103837.8217909927"/>
    <n v="1103837.8217909927"/>
    <n v="0"/>
    <n v="3.9627777802296644"/>
    <n v="3.9627777802296644"/>
    <n v="0"/>
    <n v="3.9627777802296644"/>
    <n v="331151.34653729782"/>
    <n v="331151.34653729782"/>
    <n v="0"/>
    <n v="331151.34653729782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2465.76717977138"/>
    <n v="0"/>
    <n v="0"/>
    <n v="0"/>
    <n v="0"/>
    <n v="0"/>
    <n v="0"/>
    <n v="0"/>
    <n v="452465.76717977138"/>
    <n v="0"/>
    <n v="0"/>
    <n v="0"/>
    <n v="0"/>
    <n v="0"/>
    <n v="0"/>
    <n v="0"/>
    <n v="0"/>
    <n v="0"/>
    <n v="0"/>
  </r>
  <r>
    <x v="31"/>
    <x v="7"/>
    <n v="1"/>
    <x v="1"/>
    <s v="Østdanmark"/>
    <n v="40122.945261329733"/>
    <n v="0"/>
    <n v="0"/>
    <n v="0"/>
    <n v="0"/>
    <n v="0"/>
    <n v="40122.945261329733"/>
    <n v="0"/>
    <n v="0"/>
    <n v="0"/>
    <n v="40122.945261329733"/>
    <n v="0"/>
    <n v="0.73826219280846694"/>
    <n v="0"/>
    <n v="0.73826219280846694"/>
    <n v="0"/>
    <n v="16651.022283451839"/>
    <n v="0"/>
    <n v="16651.022283451839"/>
  </r>
  <r>
    <x v="32"/>
    <x v="8"/>
    <n v="1"/>
    <x v="1"/>
    <s v="Østdanmark"/>
    <n v="358632.8241144272"/>
    <n v="0"/>
    <n v="0"/>
    <n v="0"/>
    <n v="0"/>
    <n v="0"/>
    <n v="358632.8241144272"/>
    <n v="0"/>
    <n v="0"/>
    <n v="0"/>
    <n v="358632.8241144272"/>
    <n v="0"/>
    <n v="3.2138624366711448"/>
    <n v="0"/>
    <n v="3.2138624366711448"/>
    <n v="0"/>
    <n v="0"/>
    <n v="0"/>
    <n v="0"/>
  </r>
  <r>
    <x v="33"/>
    <x v="8"/>
    <n v="1"/>
    <x v="1"/>
    <s v="Østdanmark"/>
    <n v="89658.206028606801"/>
    <n v="0"/>
    <n v="0"/>
    <n v="0"/>
    <n v="0"/>
    <n v="0"/>
    <n v="89658.206028606801"/>
    <n v="0"/>
    <n v="0"/>
    <n v="0"/>
    <n v="89658.206028606801"/>
    <n v="0"/>
    <n v="2.9828004314202778"/>
    <n v="0"/>
    <n v="2.9828004314202778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5597.91975876514"/>
    <n v="0"/>
    <n v="0"/>
    <n v="0"/>
    <n v="0"/>
    <n v="0"/>
    <n v="0"/>
    <n v="155597.9197587651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7798.959879382572"/>
    <n v="32204.032301743573"/>
    <n v="0"/>
    <n v="0"/>
    <n v="0"/>
    <n v="0"/>
    <n v="0"/>
    <n v="0"/>
    <n v="45594.927577638999"/>
    <n v="0"/>
    <n v="0"/>
    <n v="0"/>
    <n v="0"/>
    <n v="0"/>
    <n v="0"/>
    <n v="0"/>
    <n v="0"/>
    <n v="0"/>
    <n v="0"/>
  </r>
  <r>
    <x v="37"/>
    <x v="9"/>
    <n v="1"/>
    <x v="1"/>
    <s v="Østdanmark"/>
    <n v="49791.334322804847"/>
    <n v="0"/>
    <n v="0"/>
    <n v="0"/>
    <n v="0"/>
    <n v="0"/>
    <n v="49791.334322804847"/>
    <n v="0"/>
    <n v="0"/>
    <n v="0"/>
    <n v="49791.334322804847"/>
    <n v="0"/>
    <n v="1.7426967012981696"/>
    <n v="0"/>
    <n v="1.7426967012981696"/>
    <n v="0"/>
    <n v="0"/>
    <n v="0"/>
    <n v="0"/>
  </r>
  <r>
    <x v="38"/>
    <x v="4"/>
    <n v="1"/>
    <x v="1"/>
    <s v="Østdanmark"/>
    <n v="595858.7431309158"/>
    <n v="223896.98689600852"/>
    <n v="0"/>
    <n v="0"/>
    <n v="0"/>
    <n v="0"/>
    <n v="0"/>
    <n v="0"/>
    <n v="371961.75623490731"/>
    <n v="371961.75623490731"/>
    <n v="0"/>
    <n v="1.0095190848917879"/>
    <n v="1.0095190848917879"/>
    <n v="0"/>
    <n v="1.0095190848917879"/>
    <n v="74392.35124698146"/>
    <n v="74392.35124698146"/>
    <n v="0"/>
    <n v="74392.3512469814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459.35727046686"/>
    <n v="0"/>
    <n v="0"/>
    <n v="0"/>
    <n v="0"/>
    <n v="0"/>
    <n v="649459.35727046686"/>
    <n v="0"/>
    <n v="0"/>
    <n v="0"/>
    <n v="649459.35727046686"/>
    <n v="0"/>
    <n v="9.4129839428527653"/>
    <n v="0"/>
    <n v="9.4129839428527653"/>
    <n v="0"/>
    <n v="321211.7737833517"/>
    <n v="0"/>
    <n v="321211.7737833517"/>
  </r>
  <r>
    <x v="47"/>
    <x v="10"/>
    <n v="0"/>
    <x v="1"/>
    <s v="Østdanmark"/>
    <n v="178845.57608249979"/>
    <n v="0"/>
    <n v="0"/>
    <n v="0"/>
    <n v="0"/>
    <n v="0"/>
    <n v="0"/>
    <n v="178845.5760824997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2677.910705088332"/>
    <n v="7916.616753740097"/>
    <n v="0"/>
    <n v="78752.00538693853"/>
    <n v="0"/>
    <n v="0"/>
    <n v="0"/>
    <n v="0"/>
    <n v="-3990.711435590288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09079.86789434712"/>
    <n v="0"/>
    <n v="0"/>
    <n v="0"/>
    <n v="0"/>
    <n v="0"/>
    <n v="0"/>
    <n v="0"/>
    <n v="309079.86789434712"/>
    <n v="0"/>
    <n v="0"/>
    <n v="0"/>
    <n v="0"/>
    <n v="0"/>
    <n v="0"/>
    <n v="0"/>
    <n v="0"/>
    <n v="0"/>
    <n v="0"/>
  </r>
  <r>
    <x v="11"/>
    <x v="10"/>
    <n v="0"/>
    <x v="2"/>
    <s v="Østdanmark"/>
    <n v="9229.684721842088"/>
    <n v="0"/>
    <n v="0"/>
    <n v="233795.01599247381"/>
    <n v="0"/>
    <n v="0"/>
    <n v="0"/>
    <n v="0"/>
    <n v="-224565.3312706317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558351.9090764793"/>
    <n v="1464417.2058845721"/>
    <n v="0"/>
    <n v="0"/>
    <n v="0"/>
    <n v="0"/>
    <n v="0"/>
    <n v="437951.9179351207"/>
    <n v="2655982.7852567863"/>
    <n v="0"/>
    <n v="0"/>
    <n v="0"/>
    <n v="0"/>
    <n v="0"/>
    <n v="0"/>
    <n v="0"/>
    <n v="0"/>
    <n v="0"/>
    <n v="0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6512.4869525386"/>
    <n v="0"/>
    <n v="0"/>
    <n v="244869.51675001203"/>
    <n v="0"/>
    <n v="0"/>
    <n v="0"/>
    <n v="0"/>
    <n v="-58357.029797473428"/>
    <n v="0"/>
    <n v="0"/>
    <n v="0"/>
    <n v="0"/>
    <n v="0"/>
    <n v="0"/>
    <n v="0"/>
    <n v="0"/>
    <n v="0"/>
    <n v="0"/>
  </r>
  <r>
    <x v="16"/>
    <x v="5"/>
    <n v="1"/>
    <x v="2"/>
    <s v="Østdanmark"/>
    <n v="1163206.0321181191"/>
    <n v="85441.004824644508"/>
    <n v="103062.42440743271"/>
    <n v="0"/>
    <n v="0"/>
    <n v="0"/>
    <n v="179784.00628818327"/>
    <n v="773972.53466716222"/>
    <n v="20946.061930696247"/>
    <n v="0"/>
    <n v="179784.00628818327"/>
    <n v="0"/>
    <n v="1.8582126718683771"/>
    <n v="0"/>
    <n v="1.8582126718683771"/>
    <n v="0"/>
    <n v="152816.40534495577"/>
    <n v="0"/>
    <n v="152816.40534495577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3132.10244084746"/>
    <n v="0"/>
    <n v="0"/>
    <n v="0"/>
    <n v="0"/>
    <n v="0"/>
    <n v="0"/>
    <n v="0"/>
    <n v="203132.10244084746"/>
    <n v="0"/>
    <n v="0"/>
    <n v="0"/>
    <n v="0"/>
    <n v="0"/>
    <n v="0"/>
    <n v="0"/>
    <n v="0"/>
    <n v="0"/>
    <n v="0"/>
  </r>
  <r>
    <x v="21"/>
    <x v="10"/>
    <n v="0"/>
    <x v="2"/>
    <s v="Østdanmark"/>
    <n v="497993.76151649386"/>
    <n v="0"/>
    <n v="0"/>
    <n v="111975.50765955324"/>
    <n v="0"/>
    <n v="0"/>
    <n v="0"/>
    <n v="0"/>
    <n v="386018.2538569406"/>
    <n v="0"/>
    <n v="0"/>
    <n v="0"/>
    <n v="0"/>
    <n v="0"/>
    <n v="0"/>
    <n v="0"/>
    <n v="0"/>
    <n v="0"/>
    <n v="0"/>
  </r>
  <r>
    <x v="22"/>
    <x v="5"/>
    <n v="1"/>
    <x v="2"/>
    <s v="Østdanmark"/>
    <n v="1866473.5653775071"/>
    <n v="716306.46013408503"/>
    <n v="0"/>
    <n v="268249.01834925939"/>
    <n v="0"/>
    <n v="0"/>
    <n v="0"/>
    <n v="0"/>
    <n v="881918.0868941627"/>
    <n v="0"/>
    <n v="0"/>
    <n v="0"/>
    <n v="0"/>
    <n v="0"/>
    <n v="0"/>
    <n v="0"/>
    <n v="0"/>
    <n v="0"/>
    <n v="0"/>
  </r>
  <r>
    <x v="23"/>
    <x v="10"/>
    <n v="0"/>
    <x v="2"/>
    <s v="Østdanmark"/>
    <n v="0"/>
    <n v="0"/>
    <n v="0"/>
    <n v="0"/>
    <n v="0"/>
    <n v="307957.45225950622"/>
    <n v="0"/>
    <n v="0"/>
    <n v="-307957.45225950622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19481.0611094432"/>
    <n v="759973.58711494633"/>
    <n v="0"/>
    <n v="0"/>
    <n v="0"/>
    <n v="0"/>
    <n v="0"/>
    <n v="0"/>
    <n v="1059507.4739944967"/>
    <n v="0"/>
    <n v="0"/>
    <n v="0"/>
    <n v="0"/>
    <n v="0"/>
    <n v="0"/>
    <n v="0"/>
    <n v="0"/>
    <n v="0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46242.73397955461"/>
    <n v="0"/>
    <n v="0"/>
    <n v="0"/>
    <n v="0"/>
    <n v="0"/>
    <n v="0"/>
    <n v="0"/>
    <n v="446242.73397955461"/>
    <n v="0"/>
    <n v="0"/>
    <n v="0"/>
    <n v="0"/>
    <n v="0"/>
    <n v="0"/>
    <n v="0"/>
    <n v="0"/>
    <n v="0"/>
    <n v="0"/>
  </r>
  <r>
    <x v="31"/>
    <x v="7"/>
    <n v="1"/>
    <x v="2"/>
    <s v="Østdanmark"/>
    <n v="38104.004212687338"/>
    <n v="0"/>
    <n v="0"/>
    <n v="0"/>
    <n v="0"/>
    <n v="0"/>
    <n v="38104.004212687338"/>
    <n v="0"/>
    <n v="0"/>
    <n v="0"/>
    <n v="38104.004212687338"/>
    <n v="0"/>
    <n v="0.70111367751344689"/>
    <n v="0"/>
    <n v="0.70111367751344689"/>
    <n v="0"/>
    <n v="15813.161748265247"/>
    <n v="0"/>
    <n v="15813.161748265247"/>
  </r>
  <r>
    <x v="32"/>
    <x v="8"/>
    <n v="1"/>
    <x v="2"/>
    <s v="Østdanmark"/>
    <n v="433424.6194136109"/>
    <n v="0"/>
    <n v="0"/>
    <n v="0"/>
    <n v="0"/>
    <n v="0"/>
    <n v="433424.6194136109"/>
    <n v="0"/>
    <n v="0"/>
    <n v="0"/>
    <n v="433424.6194136109"/>
    <n v="0"/>
    <n v="3.8841037679736861"/>
    <n v="0"/>
    <n v="3.8841037679736861"/>
    <n v="0"/>
    <n v="0"/>
    <n v="0"/>
    <n v="0"/>
  </r>
  <r>
    <x v="33"/>
    <x v="8"/>
    <n v="1"/>
    <x v="2"/>
    <s v="Østdanmark"/>
    <n v="108356.15485340272"/>
    <n v="0"/>
    <n v="0"/>
    <n v="0"/>
    <n v="0"/>
    <n v="0"/>
    <n v="108356.15485340272"/>
    <n v="0"/>
    <n v="0"/>
    <n v="0"/>
    <n v="108356.15485340272"/>
    <n v="0"/>
    <n v="3.6048544774657745"/>
    <n v="0"/>
    <n v="3.604854477465774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3341.11706824251"/>
    <n v="0"/>
    <n v="0"/>
    <n v="0"/>
    <n v="0"/>
    <n v="0"/>
    <n v="0"/>
    <n v="153341.1170682425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6670.558534121257"/>
    <n v="32204.032301743569"/>
    <n v="0"/>
    <n v="0"/>
    <n v="0"/>
    <n v="0"/>
    <n v="0"/>
    <n v="0"/>
    <n v="44466.526232377684"/>
    <n v="0"/>
    <n v="0"/>
    <n v="0"/>
    <n v="0"/>
    <n v="0"/>
    <n v="0"/>
    <n v="0"/>
    <n v="0"/>
    <n v="0"/>
    <n v="0"/>
  </r>
  <r>
    <x v="37"/>
    <x v="9"/>
    <n v="1"/>
    <x v="2"/>
    <s v="Østdanmark"/>
    <n v="49069.157461837603"/>
    <n v="0"/>
    <n v="0"/>
    <n v="0"/>
    <n v="0"/>
    <n v="0"/>
    <n v="49069.157461837603"/>
    <n v="0"/>
    <n v="0"/>
    <n v="0"/>
    <n v="49069.157461837603"/>
    <n v="0"/>
    <n v="1.7174205111643159"/>
    <n v="0"/>
    <n v="1.7174205111643159"/>
    <n v="0"/>
    <n v="0"/>
    <n v="0"/>
    <n v="0"/>
  </r>
  <r>
    <x v="38"/>
    <x v="4"/>
    <n v="1"/>
    <x v="2"/>
    <s v="Østdanmark"/>
    <n v="2218991.7484923378"/>
    <n v="916911.47014555836"/>
    <n v="0"/>
    <n v="0"/>
    <n v="0"/>
    <n v="0"/>
    <n v="0"/>
    <n v="0"/>
    <n v="1302080.2783467793"/>
    <n v="0"/>
    <n v="0"/>
    <n v="0"/>
    <n v="0"/>
    <n v="0"/>
    <n v="0"/>
    <n v="0"/>
    <n v="0"/>
    <n v="0"/>
    <n v="0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519.74086188513"/>
    <n v="0"/>
    <n v="0"/>
    <n v="0"/>
    <n v="0"/>
    <n v="0"/>
    <n v="657519.74086188513"/>
    <n v="0"/>
    <n v="0"/>
    <n v="0"/>
    <n v="657519.74086188513"/>
    <n v="0"/>
    <n v="9.5298076678016663"/>
    <n v="0"/>
    <n v="9.5298076678016663"/>
    <n v="0"/>
    <n v="325198.30516794068"/>
    <n v="0"/>
    <n v="325198.30516794068"/>
  </r>
  <r>
    <x v="47"/>
    <x v="10"/>
    <n v="0"/>
    <x v="2"/>
    <s v="Østdanmark"/>
    <n v="189463.31390885412"/>
    <n v="0"/>
    <n v="0"/>
    <n v="0"/>
    <n v="0"/>
    <n v="0"/>
    <n v="0"/>
    <n v="189463.3139088541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P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5">
    <i>
      <x v="2"/>
    </i>
    <i>
      <x v="7"/>
    </i>
    <i>
      <x v="8"/>
    </i>
    <i>
      <x v="9"/>
    </i>
    <i>
      <x v="10"/>
    </i>
    <i>
      <x v="12"/>
    </i>
    <i>
      <x v="13"/>
    </i>
    <i>
      <x v="15"/>
    </i>
    <i>
      <x v="22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E29" sqref="E29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7.140625" style="1" customWidth="1"/>
    <col min="6" max="6" width="10.28515625" style="1" customWidth="1"/>
    <col min="7" max="16384" width="9.140625" style="1"/>
  </cols>
  <sheetData>
    <row r="1" spans="1:6" ht="21" x14ac:dyDescent="0.35">
      <c r="A1" s="423" t="s">
        <v>264</v>
      </c>
      <c r="B1" s="423"/>
      <c r="D1" s="75" t="s">
        <v>277</v>
      </c>
    </row>
    <row r="2" spans="1:6" x14ac:dyDescent="0.25">
      <c r="A2" s="6" t="s">
        <v>0</v>
      </c>
      <c r="B2" s="462" t="s">
        <v>332</v>
      </c>
    </row>
    <row r="4" spans="1:6" ht="30" customHeight="1" thickBot="1" x14ac:dyDescent="0.3">
      <c r="A4" s="422" t="s">
        <v>263</v>
      </c>
      <c r="B4" s="422"/>
      <c r="D4" s="75"/>
    </row>
    <row r="5" spans="1:6" ht="15.75" thickTop="1" x14ac:dyDescent="0.25">
      <c r="A5" s="252" t="s">
        <v>83</v>
      </c>
      <c r="B5" s="251" t="s">
        <v>297</v>
      </c>
      <c r="D5" s="210" t="s">
        <v>42</v>
      </c>
      <c r="E5" s="211"/>
      <c r="F5" s="12"/>
    </row>
    <row r="6" spans="1:6" x14ac:dyDescent="0.25">
      <c r="A6" s="204" t="s">
        <v>81</v>
      </c>
      <c r="B6" s="205" t="s">
        <v>254</v>
      </c>
      <c r="D6" s="212" t="str" cm="1">
        <f t="array" ref="D6">[1]!Jordbund1</f>
        <v>JB1-10</v>
      </c>
      <c r="E6" s="213" t="s">
        <v>43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44</v>
      </c>
      <c r="F7" s="12"/>
    </row>
    <row r="8" spans="1:6" x14ac:dyDescent="0.25">
      <c r="A8" s="220" t="s">
        <v>89</v>
      </c>
      <c r="B8" s="205" t="s">
        <v>255</v>
      </c>
      <c r="D8" s="212" t="str" cm="1">
        <f t="array" ref="D8">[1]!Organ12</f>
        <v>OC12</v>
      </c>
      <c r="E8" s="213" t="s">
        <v>45</v>
      </c>
      <c r="F8" s="12"/>
    </row>
    <row r="9" spans="1:6" x14ac:dyDescent="0.25">
      <c r="A9" s="206" t="s">
        <v>90</v>
      </c>
      <c r="B9" s="205" t="s">
        <v>256</v>
      </c>
      <c r="D9" s="212"/>
      <c r="E9" s="213"/>
      <c r="F9" s="12"/>
    </row>
    <row r="10" spans="1:6" x14ac:dyDescent="0.25">
      <c r="A10" s="204"/>
      <c r="B10" s="205"/>
      <c r="D10" s="214" t="s">
        <v>46</v>
      </c>
      <c r="E10" s="213"/>
      <c r="F10" s="12"/>
    </row>
    <row r="11" spans="1:6" x14ac:dyDescent="0.25">
      <c r="A11" s="220" t="s">
        <v>66</v>
      </c>
      <c r="B11" s="221" t="s">
        <v>257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251</v>
      </c>
      <c r="B12" s="205" t="s">
        <v>258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67</v>
      </c>
      <c r="B14" s="221" t="s">
        <v>259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68</v>
      </c>
      <c r="B15" s="205" t="s">
        <v>260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69</v>
      </c>
      <c r="B16" s="205"/>
      <c r="D16" s="215"/>
      <c r="E16" s="213"/>
    </row>
    <row r="17" spans="1:5" x14ac:dyDescent="0.25">
      <c r="A17" s="204" t="s">
        <v>70</v>
      </c>
      <c r="B17" s="221" t="s">
        <v>262</v>
      </c>
      <c r="D17" s="216" t="s">
        <v>91</v>
      </c>
      <c r="E17" s="213"/>
    </row>
    <row r="18" spans="1:5" x14ac:dyDescent="0.25">
      <c r="A18" s="204" t="s">
        <v>71</v>
      </c>
      <c r="B18" s="424" t="s">
        <v>265</v>
      </c>
      <c r="D18" s="212" cm="1">
        <f t="array" ref="D18">[1]!År1</f>
        <v>2019</v>
      </c>
      <c r="E18" s="213"/>
    </row>
    <row r="19" spans="1:5" x14ac:dyDescent="0.25">
      <c r="A19" s="204" t="s">
        <v>252</v>
      </c>
      <c r="B19" s="424"/>
      <c r="D19" s="212" cm="1">
        <f t="array" ref="D19">[1]!År2</f>
        <v>2030</v>
      </c>
      <c r="E19" s="213"/>
    </row>
    <row r="20" spans="1:5" ht="15.75" thickBot="1" x14ac:dyDescent="0.3">
      <c r="A20" s="204" t="s">
        <v>253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72</v>
      </c>
      <c r="B21" s="205"/>
    </row>
    <row r="22" spans="1:5" x14ac:dyDescent="0.25">
      <c r="A22" s="204"/>
      <c r="B22" s="205"/>
    </row>
    <row r="23" spans="1:5" x14ac:dyDescent="0.25">
      <c r="A23" s="253" t="s">
        <v>298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0" t="s">
        <v>291</v>
      </c>
      <c r="B1" s="249"/>
      <c r="C1" s="425" t="s">
        <v>290</v>
      </c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</row>
    <row r="2" spans="1:18" ht="15" customHeight="1" x14ac:dyDescent="0.25">
      <c r="A2" s="249"/>
      <c r="B2" s="249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</row>
    <row r="3" spans="1:18" x14ac:dyDescent="0.25">
      <c r="A3" s="75"/>
    </row>
    <row r="34" spans="16:20" ht="15.75" x14ac:dyDescent="0.25">
      <c r="P34" s="338" t="s">
        <v>91</v>
      </c>
      <c r="Q34" s="338" t="s">
        <v>328</v>
      </c>
      <c r="R34" s="338" t="s">
        <v>329</v>
      </c>
    </row>
    <row r="35" spans="16:20" ht="15.75" x14ac:dyDescent="0.25">
      <c r="P35" s="338">
        <v>1990</v>
      </c>
      <c r="Q35" s="416">
        <v>20000000</v>
      </c>
      <c r="R35" s="339"/>
    </row>
    <row r="36" spans="16:20" ht="15.75" x14ac:dyDescent="0.25">
      <c r="P36" s="338">
        <f>År1</f>
        <v>2019</v>
      </c>
      <c r="Q36" s="417">
        <f>GETPIVOTDATA("Total",'CO2-pivot'!$A$1,"År",P36,"Sted2","CO2 - atmosfære")</f>
        <v>13911562.11827757</v>
      </c>
      <c r="R36" s="339">
        <f>1-Q36/$Q$35</f>
        <v>0.30442189408612153</v>
      </c>
    </row>
    <row r="37" spans="16:20" ht="15.75" x14ac:dyDescent="0.25">
      <c r="P37" s="338">
        <f>År2</f>
        <v>2030</v>
      </c>
      <c r="Q37" s="417">
        <f>GETPIVOTDATA("Total",'CO2-pivot'!$A$1,"År",P37,"Sted2","CO2 - atmosfære")</f>
        <v>5981850.4819778297</v>
      </c>
      <c r="R37" s="339">
        <f t="shared" ref="R37:R38" si="0">1-Q37/$Q$35</f>
        <v>0.70090747590110847</v>
      </c>
      <c r="T37" s="414"/>
    </row>
    <row r="38" spans="16:20" ht="15.75" x14ac:dyDescent="0.25">
      <c r="P38" s="338">
        <f>År3</f>
        <v>2050</v>
      </c>
      <c r="Q38" s="417">
        <f>GETPIVOTDATA("Total",'CO2-pivot'!$A$1,"År",P38,"Sted2","CO2 - atmosfære")</f>
        <v>66373.300562149088</v>
      </c>
      <c r="R38" s="339">
        <f t="shared" si="0"/>
        <v>0.9966813349718926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330</v>
      </c>
    </row>
    <row r="2" spans="1:1" x14ac:dyDescent="0.25">
      <c r="A2" s="107">
        <v>2019</v>
      </c>
    </row>
    <row r="3" spans="1:1" x14ac:dyDescent="0.25">
      <c r="A3" s="374">
        <v>2030</v>
      </c>
    </row>
    <row r="4" spans="1:1" x14ac:dyDescent="0.25">
      <c r="A4" s="363">
        <v>2050</v>
      </c>
    </row>
    <row r="5" spans="1:1" x14ac:dyDescent="0.25">
      <c r="A5" s="353" t="s">
        <v>15</v>
      </c>
    </row>
    <row r="6" spans="1:1" x14ac:dyDescent="0.25">
      <c r="A6" s="375" t="s">
        <v>48</v>
      </c>
    </row>
    <row r="7" spans="1:1" x14ac:dyDescent="0.25">
      <c r="A7" s="373" t="s">
        <v>180</v>
      </c>
    </row>
    <row r="8" spans="1:1" x14ac:dyDescent="0.25">
      <c r="A8" s="364" t="s">
        <v>32</v>
      </c>
    </row>
    <row r="9" spans="1:1" x14ac:dyDescent="0.25">
      <c r="A9" s="351" t="s">
        <v>100</v>
      </c>
    </row>
    <row r="10" spans="1:1" x14ac:dyDescent="0.25">
      <c r="A10" s="376" t="s">
        <v>107</v>
      </c>
    </row>
    <row r="11" spans="1:1" x14ac:dyDescent="0.25">
      <c r="A11" s="365" t="s">
        <v>259</v>
      </c>
    </row>
    <row r="12" spans="1:1" x14ac:dyDescent="0.25">
      <c r="A12" s="377" t="s">
        <v>108</v>
      </c>
    </row>
    <row r="13" spans="1:1" x14ac:dyDescent="0.25">
      <c r="A13" s="351" t="s">
        <v>228</v>
      </c>
    </row>
    <row r="14" spans="1:1" s="168" customFormat="1" x14ac:dyDescent="0.25">
      <c r="A14" s="378" t="s">
        <v>206</v>
      </c>
    </row>
    <row r="15" spans="1:1" x14ac:dyDescent="0.25">
      <c r="A15" s="356" t="s">
        <v>109</v>
      </c>
    </row>
    <row r="16" spans="1:1" x14ac:dyDescent="0.25">
      <c r="A16" s="379" t="s">
        <v>99</v>
      </c>
    </row>
    <row r="17" spans="1:1" x14ac:dyDescent="0.25">
      <c r="A17" s="380" t="s">
        <v>202</v>
      </c>
    </row>
    <row r="18" spans="1:1" x14ac:dyDescent="0.25">
      <c r="A18" s="381" t="s">
        <v>19</v>
      </c>
    </row>
    <row r="19" spans="1:1" x14ac:dyDescent="0.25">
      <c r="A19" s="382" t="s">
        <v>135</v>
      </c>
    </row>
    <row r="20" spans="1:1" x14ac:dyDescent="0.25">
      <c r="A20" s="398" t="s">
        <v>94</v>
      </c>
    </row>
    <row r="21" spans="1:1" x14ac:dyDescent="0.25">
      <c r="A21" s="412" t="s">
        <v>111</v>
      </c>
    </row>
    <row r="22" spans="1:1" x14ac:dyDescent="0.25">
      <c r="A22" s="413" t="s">
        <v>53</v>
      </c>
    </row>
    <row r="23" spans="1:1" x14ac:dyDescent="0.25">
      <c r="A23" s="350" t="s">
        <v>156</v>
      </c>
    </row>
    <row r="24" spans="1:1" x14ac:dyDescent="0.25">
      <c r="A24" s="366" t="s">
        <v>50</v>
      </c>
    </row>
    <row r="25" spans="1:1" x14ac:dyDescent="0.25">
      <c r="A25" s="366" t="s">
        <v>222</v>
      </c>
    </row>
    <row r="26" spans="1:1" x14ac:dyDescent="0.25">
      <c r="A26" s="354" t="s">
        <v>201</v>
      </c>
    </row>
    <row r="27" spans="1:1" x14ac:dyDescent="0.25">
      <c r="A27" s="410" t="s">
        <v>6</v>
      </c>
    </row>
    <row r="28" spans="1:1" x14ac:dyDescent="0.25">
      <c r="A28" s="349" t="s">
        <v>65</v>
      </c>
    </row>
    <row r="29" spans="1:1" x14ac:dyDescent="0.25">
      <c r="A29" s="349" t="s">
        <v>225</v>
      </c>
    </row>
    <row r="30" spans="1:1" x14ac:dyDescent="0.25">
      <c r="A30" s="355" t="s">
        <v>198</v>
      </c>
    </row>
    <row r="31" spans="1:1" x14ac:dyDescent="0.25">
      <c r="A31" s="348" t="s">
        <v>224</v>
      </c>
    </row>
    <row r="32" spans="1:1" x14ac:dyDescent="0.25">
      <c r="A32" s="411" t="s">
        <v>160</v>
      </c>
    </row>
    <row r="33" spans="1:1" x14ac:dyDescent="0.25">
      <c r="A33" s="357" t="s">
        <v>191</v>
      </c>
    </row>
    <row r="34" spans="1:1" x14ac:dyDescent="0.25">
      <c r="A34" s="352" t="s">
        <v>220</v>
      </c>
    </row>
    <row r="35" spans="1:1" x14ac:dyDescent="0.25">
      <c r="A35" s="361" t="s">
        <v>11</v>
      </c>
    </row>
    <row r="36" spans="1:1" x14ac:dyDescent="0.25">
      <c r="A36" s="397" t="s">
        <v>157</v>
      </c>
    </row>
    <row r="37" spans="1:1" x14ac:dyDescent="0.25">
      <c r="A37" s="346" t="s">
        <v>101</v>
      </c>
    </row>
    <row r="38" spans="1:1" x14ac:dyDescent="0.25">
      <c r="A38" s="406" t="s">
        <v>55</v>
      </c>
    </row>
    <row r="39" spans="1:1" x14ac:dyDescent="0.25">
      <c r="A39" s="407" t="s">
        <v>12</v>
      </c>
    </row>
    <row r="40" spans="1:1" x14ac:dyDescent="0.25">
      <c r="A40" s="408" t="s">
        <v>47</v>
      </c>
    </row>
    <row r="41" spans="1:1" x14ac:dyDescent="0.25">
      <c r="A41" s="385" t="s">
        <v>113</v>
      </c>
    </row>
    <row r="42" spans="1:1" x14ac:dyDescent="0.25">
      <c r="A42" s="383" t="s">
        <v>134</v>
      </c>
    </row>
    <row r="43" spans="1:1" x14ac:dyDescent="0.25">
      <c r="A43" s="363" t="s">
        <v>9</v>
      </c>
    </row>
    <row r="44" spans="1:1" x14ac:dyDescent="0.25">
      <c r="A44" s="409" t="s">
        <v>106</v>
      </c>
    </row>
    <row r="45" spans="1:1" x14ac:dyDescent="0.25">
      <c r="A45" s="405" t="s">
        <v>52</v>
      </c>
    </row>
    <row r="46" spans="1:1" x14ac:dyDescent="0.25">
      <c r="A46" s="363" t="s">
        <v>192</v>
      </c>
    </row>
    <row r="47" spans="1:1" x14ac:dyDescent="0.25">
      <c r="A47" s="404" t="s">
        <v>114</v>
      </c>
    </row>
    <row r="48" spans="1:1" s="168" customFormat="1" x14ac:dyDescent="0.25">
      <c r="A48" s="403" t="s">
        <v>104</v>
      </c>
    </row>
    <row r="49" spans="1:1" x14ac:dyDescent="0.25">
      <c r="A49" s="362" t="s">
        <v>33</v>
      </c>
    </row>
    <row r="50" spans="1:1" x14ac:dyDescent="0.25">
      <c r="A50" s="399" t="s">
        <v>14</v>
      </c>
    </row>
    <row r="51" spans="1:1" s="168" customFormat="1" x14ac:dyDescent="0.25">
      <c r="A51" s="400" t="s">
        <v>54</v>
      </c>
    </row>
    <row r="52" spans="1:1" x14ac:dyDescent="0.25">
      <c r="A52" s="401" t="s">
        <v>37</v>
      </c>
    </row>
    <row r="53" spans="1:1" x14ac:dyDescent="0.25">
      <c r="A53" s="402" t="s">
        <v>93</v>
      </c>
    </row>
    <row r="54" spans="1:1" x14ac:dyDescent="0.25">
      <c r="A54" s="345" t="s">
        <v>301</v>
      </c>
    </row>
    <row r="55" spans="1:1" x14ac:dyDescent="0.25">
      <c r="A55" s="385" t="s">
        <v>302</v>
      </c>
    </row>
    <row r="56" spans="1:1" x14ac:dyDescent="0.25">
      <c r="A56" s="360" t="s">
        <v>305</v>
      </c>
    </row>
    <row r="57" spans="1:1" x14ac:dyDescent="0.25">
      <c r="A57" s="345" t="s">
        <v>307</v>
      </c>
    </row>
    <row r="58" spans="1:1" x14ac:dyDescent="0.25">
      <c r="A58" s="386" t="s">
        <v>115</v>
      </c>
    </row>
    <row r="59" spans="1:1" x14ac:dyDescent="0.25">
      <c r="A59" s="388" t="s">
        <v>49</v>
      </c>
    </row>
    <row r="60" spans="1:1" x14ac:dyDescent="0.25">
      <c r="A60" s="389" t="s">
        <v>236</v>
      </c>
    </row>
    <row r="61" spans="1:1" x14ac:dyDescent="0.25">
      <c r="A61" s="390" t="s">
        <v>229</v>
      </c>
    </row>
    <row r="62" spans="1:1" x14ac:dyDescent="0.25">
      <c r="A62" s="391" t="s">
        <v>51</v>
      </c>
    </row>
    <row r="63" spans="1:1" x14ac:dyDescent="0.25">
      <c r="A63" s="358" t="s">
        <v>10</v>
      </c>
    </row>
    <row r="64" spans="1:1" x14ac:dyDescent="0.25">
      <c r="A64" s="368" t="s">
        <v>174</v>
      </c>
    </row>
    <row r="65" spans="1:8" x14ac:dyDescent="0.25">
      <c r="A65" s="369" t="s">
        <v>175</v>
      </c>
    </row>
    <row r="66" spans="1:8" x14ac:dyDescent="0.25">
      <c r="A66" s="370" t="s">
        <v>176</v>
      </c>
    </row>
    <row r="67" spans="1:8" x14ac:dyDescent="0.25">
      <c r="A67" s="371" t="s">
        <v>177</v>
      </c>
    </row>
    <row r="68" spans="1:8" x14ac:dyDescent="0.25">
      <c r="A68" s="372" t="s">
        <v>178</v>
      </c>
    </row>
    <row r="69" spans="1:8" x14ac:dyDescent="0.25">
      <c r="A69" s="392" t="s">
        <v>119</v>
      </c>
    </row>
    <row r="70" spans="1:8" x14ac:dyDescent="0.25">
      <c r="A70" s="393" t="s">
        <v>105</v>
      </c>
    </row>
    <row r="71" spans="1:8" x14ac:dyDescent="0.25">
      <c r="A71" s="394" t="s">
        <v>138</v>
      </c>
    </row>
    <row r="72" spans="1:8" x14ac:dyDescent="0.25">
      <c r="A72" s="384" t="s">
        <v>133</v>
      </c>
    </row>
    <row r="73" spans="1:8" x14ac:dyDescent="0.25">
      <c r="A73" s="395" t="s">
        <v>13</v>
      </c>
    </row>
    <row r="74" spans="1:8" x14ac:dyDescent="0.25">
      <c r="A74" s="387" t="s">
        <v>97</v>
      </c>
      <c r="H74" s="367" t="s">
        <v>102</v>
      </c>
    </row>
    <row r="75" spans="1:8" x14ac:dyDescent="0.25">
      <c r="A75" s="396" t="s">
        <v>117</v>
      </c>
    </row>
    <row r="76" spans="1:8" x14ac:dyDescent="0.25">
      <c r="A76" s="347" t="s">
        <v>116</v>
      </c>
    </row>
    <row r="77" spans="1:8" x14ac:dyDescent="0.25">
      <c r="A77" s="359" t="s">
        <v>327</v>
      </c>
    </row>
    <row r="78" spans="1:8" x14ac:dyDescent="0.25">
      <c r="A78" s="347" t="s">
        <v>223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55" sqref="K5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42578125" style="1" bestFit="1" customWidth="1"/>
    <col min="14" max="15" width="13.140625" style="1" bestFit="1" customWidth="1"/>
    <col min="16" max="16" width="15.42578125" style="1" bestFit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7" t="s">
        <v>266</v>
      </c>
      <c r="B1" s="75" t="s">
        <v>292</v>
      </c>
    </row>
    <row r="2" spans="1:22" ht="42.95" customHeight="1" x14ac:dyDescent="0.25">
      <c r="A2" s="222" t="s">
        <v>276</v>
      </c>
      <c r="B2" s="25" t="s">
        <v>309</v>
      </c>
      <c r="C2" s="25">
        <f>År2</f>
        <v>2030</v>
      </c>
      <c r="D2" s="25">
        <f>År3</f>
        <v>2050</v>
      </c>
      <c r="E2" s="25" t="s">
        <v>38</v>
      </c>
      <c r="F2" s="25" t="s">
        <v>34</v>
      </c>
      <c r="G2" s="25" t="s">
        <v>35</v>
      </c>
      <c r="J2" s="6" t="s">
        <v>299</v>
      </c>
      <c r="K2" s="6"/>
      <c r="L2" s="6"/>
      <c r="M2" s="6"/>
      <c r="N2" s="6"/>
      <c r="O2" s="6"/>
      <c r="P2" s="6"/>
    </row>
    <row r="3" spans="1:22" x14ac:dyDescent="0.25">
      <c r="A3" s="2"/>
      <c r="B3" s="461" t="s">
        <v>331</v>
      </c>
      <c r="C3" s="9">
        <v>1000</v>
      </c>
      <c r="D3" s="22">
        <f>C3</f>
        <v>1000</v>
      </c>
      <c r="E3" s="9" t="s">
        <v>39</v>
      </c>
      <c r="F3" s="110" t="s">
        <v>9</v>
      </c>
      <c r="G3" s="110" t="s">
        <v>33</v>
      </c>
      <c r="I3" s="2" t="s">
        <v>173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22" x14ac:dyDescent="0.25">
      <c r="A4" s="2"/>
      <c r="B4" s="2"/>
      <c r="C4" s="9"/>
      <c r="D4" s="22"/>
      <c r="E4" s="9"/>
      <c r="F4" s="110"/>
      <c r="G4" s="110"/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/>
      <c r="B5" s="219"/>
      <c r="C5" s="9"/>
      <c r="D5" s="9"/>
      <c r="E5" s="9"/>
      <c r="F5" s="110"/>
      <c r="G5" s="110"/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  <c r="T5" s="15"/>
      <c r="U5" s="15"/>
      <c r="V5" s="15"/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2399936</v>
      </c>
      <c r="N6" s="18">
        <f t="shared" si="1"/>
        <v>100502</v>
      </c>
      <c r="O6" s="18">
        <f t="shared" si="1"/>
        <v>77232</v>
      </c>
      <c r="P6" s="18">
        <f t="shared" si="1"/>
        <v>2399936</v>
      </c>
      <c r="Q6" s="18">
        <f t="shared" si="1"/>
        <v>100502</v>
      </c>
      <c r="R6" s="18">
        <f t="shared" si="1"/>
        <v>77232</v>
      </c>
      <c r="T6" s="15"/>
      <c r="U6" s="15"/>
      <c r="V6" s="15"/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562410</v>
      </c>
      <c r="N7" s="18">
        <f t="shared" si="2"/>
        <v>0</v>
      </c>
      <c r="O7" s="18">
        <f t="shared" si="2"/>
        <v>0</v>
      </c>
      <c r="P7" s="18">
        <f t="shared" si="2"/>
        <v>562410</v>
      </c>
      <c r="Q7" s="18">
        <f t="shared" si="2"/>
        <v>0</v>
      </c>
      <c r="R7" s="18">
        <f t="shared" si="2"/>
        <v>0</v>
      </c>
      <c r="T7" s="15"/>
      <c r="U7" s="15"/>
      <c r="V7" s="15"/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61498</v>
      </c>
      <c r="O8" s="18">
        <f t="shared" si="3"/>
        <v>51767.999999999993</v>
      </c>
      <c r="P8" s="18">
        <f t="shared" si="3"/>
        <v>393324.00000000006</v>
      </c>
      <c r="Q8" s="18">
        <f t="shared" si="3"/>
        <v>61498</v>
      </c>
      <c r="R8" s="18">
        <f t="shared" si="3"/>
        <v>51767.999999999993</v>
      </c>
      <c r="T8" s="15"/>
      <c r="U8" s="15"/>
      <c r="V8" s="15"/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  <c r="T9" s="15"/>
      <c r="U9" s="15"/>
      <c r="V9" s="15"/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18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4"/>
      <c r="J22" s="255" t="s">
        <v>293</v>
      </c>
      <c r="K22" s="255"/>
      <c r="L22" s="255"/>
      <c r="M22" s="255"/>
      <c r="N22" s="255"/>
      <c r="O22" s="255"/>
      <c r="P22" s="255"/>
      <c r="Q22" s="254"/>
      <c r="R22" s="254"/>
    </row>
    <row r="23" spans="1:18" hidden="1" x14ac:dyDescent="0.25">
      <c r="D23" s="15"/>
      <c r="E23" s="15"/>
      <c r="F23" s="15"/>
      <c r="G23" s="15"/>
      <c r="I23" s="256" t="s">
        <v>173</v>
      </c>
      <c r="J23" s="257">
        <f>År1</f>
        <v>2019</v>
      </c>
      <c r="K23" s="257">
        <f>År1</f>
        <v>2019</v>
      </c>
      <c r="L23" s="257">
        <f>År1</f>
        <v>2019</v>
      </c>
      <c r="M23" s="257">
        <f>År2</f>
        <v>2030</v>
      </c>
      <c r="N23" s="257">
        <f>År2</f>
        <v>2030</v>
      </c>
      <c r="O23" s="257">
        <f>År2</f>
        <v>2030</v>
      </c>
      <c r="P23" s="257">
        <f>År3</f>
        <v>2050</v>
      </c>
      <c r="Q23" s="257">
        <f>År3</f>
        <v>2050</v>
      </c>
      <c r="R23" s="257">
        <f>År3</f>
        <v>2050</v>
      </c>
    </row>
    <row r="24" spans="1:18" hidden="1" x14ac:dyDescent="0.25">
      <c r="D24" s="15"/>
      <c r="E24" s="15"/>
      <c r="F24" s="15"/>
      <c r="G24" s="15"/>
      <c r="I24" s="256"/>
      <c r="J24" s="257" t="str">
        <f>Jordbund1</f>
        <v>JB1-10</v>
      </c>
      <c r="K24" s="257" t="str">
        <f>Organ6</f>
        <v>OC6</v>
      </c>
      <c r="L24" s="257" t="str">
        <f>Organ12</f>
        <v>OC12</v>
      </c>
      <c r="M24" s="257" t="str">
        <f>Jordbund1</f>
        <v>JB1-10</v>
      </c>
      <c r="N24" s="257" t="str">
        <f>Organ6</f>
        <v>OC6</v>
      </c>
      <c r="O24" s="257" t="str">
        <f>Organ12</f>
        <v>OC12</v>
      </c>
      <c r="P24" s="257" t="str">
        <f>Jordbund1</f>
        <v>JB1-10</v>
      </c>
      <c r="Q24" s="257" t="str">
        <f>Organ6</f>
        <v>OC6</v>
      </c>
      <c r="R24" s="257" t="str">
        <f>Organ12</f>
        <v>OC12</v>
      </c>
    </row>
    <row r="25" spans="1:18" hidden="1" x14ac:dyDescent="0.25">
      <c r="D25" s="15"/>
      <c r="E25" s="15"/>
      <c r="F25" s="15"/>
      <c r="G25" s="15"/>
      <c r="I25" s="258" t="str">
        <f>Bebyg</f>
        <v>Bebyggelse &amp; infrastruktur</v>
      </c>
      <c r="J25" s="264">
        <f>SUMIF([1]Arealanvendelse!$B$15:$B$22,I25,[1]Arealanvendelse!$D$15:$D$22)-SUM(K25:L25)</f>
        <v>413346.96815611009</v>
      </c>
      <c r="K25" s="264"/>
      <c r="L25" s="264"/>
      <c r="M25" s="267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7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7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7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7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7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58" t="str">
        <f>Afgrøder</f>
        <v>Landbrugsafgrøder</v>
      </c>
      <c r="J26" s="264">
        <f>SUMIF([1]Arealanvendelse!$B$15:$B$22,I26,[1]Arealanvendelse!$D$15:$D$22)-SUM(K26:L26)</f>
        <v>1853876.1391137983</v>
      </c>
      <c r="K26" s="264">
        <f>[1]Jordbundstypefordeling!$D$16*[1]Jordbundstypefordeling!$F$4</f>
        <v>87250.625185185185</v>
      </c>
      <c r="L26" s="264">
        <f>[1]Jordbundstypefordeling!$D$15*[1]Jordbundstypefordeling!$F$4</f>
        <v>67916.965925925921</v>
      </c>
      <c r="M26" s="267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1853876.1391137983</v>
      </c>
      <c r="N26" s="267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87250.625185185185</v>
      </c>
      <c r="O26" s="267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67048.817777777775</v>
      </c>
      <c r="P26" s="267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1853876.1391137983</v>
      </c>
      <c r="Q26" s="267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87250.625185185185</v>
      </c>
      <c r="R26" s="267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67048.817777777775</v>
      </c>
    </row>
    <row r="27" spans="1:18" hidden="1" x14ac:dyDescent="0.25">
      <c r="D27" s="15"/>
      <c r="E27" s="15"/>
      <c r="F27" s="15"/>
      <c r="G27" s="15"/>
      <c r="I27" s="258" t="str">
        <f>SkovAreal</f>
        <v>Skov</v>
      </c>
      <c r="J27" s="264">
        <f>SUMIF([1]Arealanvendelse!$B$15:$B$22,I27,[1]Arealanvendelse!$D$15:$D$22)-SUM(K27:L27)</f>
        <v>435064.52162306459</v>
      </c>
      <c r="K27" s="264"/>
      <c r="L27" s="264"/>
      <c r="M27" s="267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435064.52162306459</v>
      </c>
      <c r="N27" s="267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7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7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435064.52162306459</v>
      </c>
      <c r="Q27" s="267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7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58" t="str">
        <f>NaturAreal</f>
        <v>Natur</v>
      </c>
      <c r="J28" s="264">
        <f>SUMIF([1]Arealanvendelse!$B$15:$B$22,I28,[1]Arealanvendelse!$D$15:$D$22)-SUM(K28:L28)</f>
        <v>317835.5825103767</v>
      </c>
      <c r="K28" s="264">
        <f>([1]Jordbundstypefordeling!$E$16-[1]Jordbundstypefordeling!$D$16)*SUM([1]Jordbundstypefordeling!$D$3:$D$5)</f>
        <v>53389.374814814815</v>
      </c>
      <c r="L28" s="264">
        <f>([1]Jordbundstypefordeling!$E$15-[1]Jordbundstypefordeling!$D$15)*SUM([1]Jordbundstypefordeling!D3:D5)</f>
        <v>44074.145185185182</v>
      </c>
      <c r="M28" s="267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7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53389.374814814815</v>
      </c>
      <c r="O28" s="267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44942.293333333328</v>
      </c>
      <c r="P28" s="267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7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53389.374814814815</v>
      </c>
      <c r="R28" s="267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44942.293333333328</v>
      </c>
    </row>
    <row r="29" spans="1:18" ht="15.75" hidden="1" thickBot="1" x14ac:dyDescent="0.3">
      <c r="D29" s="15"/>
      <c r="E29" s="15"/>
      <c r="F29" s="15"/>
      <c r="G29" s="15"/>
      <c r="I29" s="259" t="str">
        <f>IKareal</f>
        <v>Ikke klassificeret</v>
      </c>
      <c r="J29" s="265">
        <f>SUMIF([1]Arealanvendelse!$B$15:$B$22,I29,[1]Arealanvendelse!$D$15:$D$22)-SUM(K29:L29)</f>
        <v>47192.371697540235</v>
      </c>
      <c r="K29" s="265"/>
      <c r="L29" s="265"/>
      <c r="M29" s="268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68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68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68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68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68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0" t="s">
        <v>30</v>
      </c>
      <c r="J30" s="266">
        <f t="shared" ref="J30:R30" si="6">SUM(J25:J29)</f>
        <v>3067315.5831008903</v>
      </c>
      <c r="K30" s="266">
        <f t="shared" si="6"/>
        <v>140640</v>
      </c>
      <c r="L30" s="266">
        <f t="shared" si="6"/>
        <v>111991.11111111109</v>
      </c>
      <c r="M30" s="269">
        <f t="shared" si="6"/>
        <v>3067315.5831008903</v>
      </c>
      <c r="N30" s="269">
        <f t="shared" si="6"/>
        <v>140640</v>
      </c>
      <c r="O30" s="269">
        <f t="shared" si="6"/>
        <v>111991.11111111109</v>
      </c>
      <c r="P30" s="269">
        <f t="shared" si="6"/>
        <v>3067315.5831008903</v>
      </c>
      <c r="Q30" s="269">
        <f t="shared" si="6"/>
        <v>140640</v>
      </c>
      <c r="R30" s="269">
        <f t="shared" si="6"/>
        <v>111991.11111111109</v>
      </c>
    </row>
    <row r="31" spans="1:18" hidden="1" x14ac:dyDescent="0.25">
      <c r="I31" s="261"/>
      <c r="J31" s="262"/>
      <c r="K31" s="262"/>
      <c r="L31" s="262"/>
      <c r="M31" s="263"/>
      <c r="N31" s="262"/>
      <c r="O31" s="262"/>
      <c r="P31" s="262"/>
      <c r="Q31" s="262"/>
      <c r="R31" s="262"/>
    </row>
    <row r="32" spans="1:18" hidden="1" x14ac:dyDescent="0.25">
      <c r="I32" s="261"/>
      <c r="J32" s="255" t="s">
        <v>294</v>
      </c>
      <c r="K32" s="255"/>
      <c r="L32" s="255"/>
      <c r="M32" s="255"/>
      <c r="N32" s="255"/>
      <c r="O32" s="255"/>
      <c r="P32" s="255"/>
      <c r="Q32" s="255"/>
      <c r="R32" s="255"/>
    </row>
    <row r="33" spans="9:18" hidden="1" x14ac:dyDescent="0.25">
      <c r="I33" s="256" t="s">
        <v>173</v>
      </c>
      <c r="J33" s="257">
        <f>År1</f>
        <v>2019</v>
      </c>
      <c r="K33" s="257">
        <f>År1</f>
        <v>2019</v>
      </c>
      <c r="L33" s="257">
        <f>År1</f>
        <v>2019</v>
      </c>
      <c r="M33" s="257">
        <v>2030</v>
      </c>
      <c r="N33" s="257">
        <v>2030</v>
      </c>
      <c r="O33" s="257">
        <v>2030</v>
      </c>
      <c r="P33" s="257">
        <f>År3</f>
        <v>2050</v>
      </c>
      <c r="Q33" s="257">
        <f>År3</f>
        <v>2050</v>
      </c>
      <c r="R33" s="257">
        <f>År3</f>
        <v>2050</v>
      </c>
    </row>
    <row r="34" spans="9:18" hidden="1" x14ac:dyDescent="0.25">
      <c r="I34" s="256"/>
      <c r="J34" s="257" t="str">
        <f>Jordbund1</f>
        <v>JB1-10</v>
      </c>
      <c r="K34" s="257" t="str">
        <f>Organ6</f>
        <v>OC6</v>
      </c>
      <c r="L34" s="257" t="str">
        <f>Organ12</f>
        <v>OC12</v>
      </c>
      <c r="M34" s="257" t="str">
        <f>Jordbund1</f>
        <v>JB1-10</v>
      </c>
      <c r="N34" s="257" t="str">
        <f>Organ6</f>
        <v>OC6</v>
      </c>
      <c r="O34" s="257" t="str">
        <f>Organ12</f>
        <v>OC12</v>
      </c>
      <c r="P34" s="257" t="str">
        <f>Jordbund1</f>
        <v>JB1-10</v>
      </c>
      <c r="Q34" s="257" t="str">
        <f>Organ6</f>
        <v>OC6</v>
      </c>
      <c r="R34" s="257" t="str">
        <f>Organ12</f>
        <v>OC12</v>
      </c>
    </row>
    <row r="35" spans="9:18" hidden="1" x14ac:dyDescent="0.25">
      <c r="I35" s="258" t="str">
        <f>Bebyg</f>
        <v>Bebyggelse &amp; infrastruktur</v>
      </c>
      <c r="J35" s="264">
        <f>SUMIF([1]Arealanvendelse!$B$15:$B$22,I35,[1]Arealanvendelse!$E$15:$E$22)-SUM(K35:L35)</f>
        <v>178773.03184388991</v>
      </c>
      <c r="K35" s="264"/>
      <c r="L35" s="264"/>
      <c r="M35" s="267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7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7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7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7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7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58" t="str">
        <f>Afgrøder</f>
        <v>Landbrugsafgrøder</v>
      </c>
      <c r="J36" s="264">
        <f>SUMIF([1]Arealanvendelse!$B$15:$B$22,I36,[1]Arealanvendelse!$E$15:$E$22)-SUM(K36:L36)</f>
        <v>546059.8608862015</v>
      </c>
      <c r="K36" s="264">
        <f>[1]Jordbundstypefordeling!$D$16*[1]Jordbundstypefordeling!$G$4</f>
        <v>13251.374814814815</v>
      </c>
      <c r="L36" s="264">
        <f>[1]Jordbundstypefordeling!$D$15*[1]Jordbundstypefordeling!$G$4</f>
        <v>10315.034074074074</v>
      </c>
      <c r="M36" s="267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546059.8608862015</v>
      </c>
      <c r="N36" s="267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13251.374814814815</v>
      </c>
      <c r="O36" s="267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10183.182222222222</v>
      </c>
      <c r="P36" s="267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546059.8608862015</v>
      </c>
      <c r="Q36" s="267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13251.374814814815</v>
      </c>
      <c r="R36" s="267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10183.182222222222</v>
      </c>
    </row>
    <row r="37" spans="9:18" hidden="1" x14ac:dyDescent="0.25">
      <c r="I37" s="258" t="str">
        <f>SkovAreal</f>
        <v>Skov</v>
      </c>
      <c r="J37" s="264">
        <f>SUMIF([1]Arealanvendelse!$B$15:$B$22,I37,[1]Arealanvendelse!$E$15:$E$22)-SUM(K37:L37)</f>
        <v>127345.4783769354</v>
      </c>
      <c r="K37" s="264"/>
      <c r="L37" s="264"/>
      <c r="M37" s="267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127345.4783769354</v>
      </c>
      <c r="N37" s="267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7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7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127345.4783769354</v>
      </c>
      <c r="Q37" s="267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7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58" t="str">
        <f>NaturAreal</f>
        <v>Natur</v>
      </c>
      <c r="J38" s="264">
        <f>SUMIF([1]Arealanvendelse!$B$15:$B$22,I38,[1]Arealanvendelse!$E$15:$E$22)-SUM(K38:L38)</f>
        <v>75488.417489623345</v>
      </c>
      <c r="K38" s="264">
        <f>([1]Jordbundstypefordeling!$E$16-[1]Jordbundstypefordeling!$D$16)*[1]Jordbundstypefordeling!$G$4</f>
        <v>8108.6251851851857</v>
      </c>
      <c r="L38" s="264">
        <f>([1]Jordbundstypefordeling!$E$15-[1]Jordbundstypefordeling!$D$15)*[1]Jordbundstypefordeling!$G$4</f>
        <v>6693.8548148148147</v>
      </c>
      <c r="M38" s="267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7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8108.6251851851857</v>
      </c>
      <c r="O38" s="267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6825.7066666666669</v>
      </c>
      <c r="P38" s="267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7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8108.6251851851857</v>
      </c>
      <c r="R38" s="267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6825.7066666666669</v>
      </c>
    </row>
    <row r="39" spans="9:18" ht="15.75" hidden="1" thickBot="1" x14ac:dyDescent="0.3">
      <c r="I39" s="259" t="str">
        <f>IKareal</f>
        <v>Ikke klassificeret</v>
      </c>
      <c r="J39" s="265">
        <f>SUMIF([1]Arealanvendelse!$B$15:$B$22,I39,[1]Arealanvendelse!$E$15:$E$22)-SUM(K39:L39)</f>
        <v>19447.628302459765</v>
      </c>
      <c r="K39" s="265"/>
      <c r="L39" s="265"/>
      <c r="M39" s="268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68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68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68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68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68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0" t="s">
        <v>30</v>
      </c>
      <c r="J40" s="266">
        <f t="shared" ref="J40:R40" si="7">SUM(J35:J39)</f>
        <v>947114.41689910984</v>
      </c>
      <c r="K40" s="266">
        <f t="shared" si="7"/>
        <v>21360</v>
      </c>
      <c r="L40" s="266">
        <f t="shared" si="7"/>
        <v>17008.888888888891</v>
      </c>
      <c r="M40" s="269">
        <f t="shared" si="7"/>
        <v>947114.41689910984</v>
      </c>
      <c r="N40" s="269">
        <f t="shared" si="7"/>
        <v>21360</v>
      </c>
      <c r="O40" s="269">
        <f t="shared" si="7"/>
        <v>17008.888888888891</v>
      </c>
      <c r="P40" s="269">
        <f t="shared" si="7"/>
        <v>947114.41689910984</v>
      </c>
      <c r="Q40" s="269">
        <f t="shared" si="7"/>
        <v>21360</v>
      </c>
      <c r="R40" s="269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topLeftCell="A2" zoomScale="70" zoomScaleNormal="70" workbookViewId="0">
      <selection activeCell="A2" sqref="A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6" t="s">
        <v>266</v>
      </c>
    </row>
    <row r="2" spans="1:9" ht="15.75" x14ac:dyDescent="0.25">
      <c r="A2" s="223" t="s">
        <v>64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36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 t="shared" ref="E5:E8" si="0">D5</f>
        <v>0.11336632437979943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6" si="1">C6</f>
        <v>3.9915791472992256E-2</v>
      </c>
      <c r="E6" s="8">
        <f t="shared" si="0"/>
        <v>3.9915791472992256E-2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:E7" si="2">C7</f>
        <v>0.15042455841097682</v>
      </c>
      <c r="E7" s="8">
        <f t="shared" si="0"/>
        <v>0.15042455841097682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ref="D8:E8" si="3">C8</f>
        <v>0.14212072473400883</v>
      </c>
      <c r="E8" s="8">
        <f t="shared" si="0"/>
        <v>0.14212072473400883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08"/>
      <c r="D14" s="13"/>
      <c r="E14" s="13"/>
      <c r="F14" s="12"/>
      <c r="G14" s="12"/>
      <c r="H14" s="14"/>
      <c r="I14" s="14"/>
    </row>
    <row r="15" spans="1:9" x14ac:dyDescent="0.25">
      <c r="B15" s="88" t="s">
        <v>132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88</v>
      </c>
      <c r="C16" s="87">
        <v>1</v>
      </c>
      <c r="D16" s="3">
        <f>C16</f>
        <v>1</v>
      </c>
      <c r="E16" s="3">
        <f t="shared" ref="E16:E18" si="4">D16</f>
        <v>1</v>
      </c>
      <c r="F16" s="12"/>
    </row>
    <row r="17" spans="2:11" x14ac:dyDescent="0.25">
      <c r="B17" s="2" t="s">
        <v>82</v>
      </c>
      <c r="C17" s="87">
        <v>0.59345000000000003</v>
      </c>
      <c r="D17" s="3">
        <f t="shared" ref="D17:E17" si="5">C17</f>
        <v>0.59345000000000003</v>
      </c>
      <c r="E17" s="3">
        <f t="shared" si="4"/>
        <v>0.59345000000000003</v>
      </c>
      <c r="F17" s="12"/>
    </row>
    <row r="18" spans="2:11" x14ac:dyDescent="0.25">
      <c r="B18" s="2" t="s">
        <v>139</v>
      </c>
      <c r="C18" s="87">
        <v>1</v>
      </c>
      <c r="D18" s="3">
        <f t="shared" ref="D18:E18" si="6">C18</f>
        <v>1</v>
      </c>
      <c r="E18" s="3">
        <f t="shared" si="4"/>
        <v>1</v>
      </c>
      <c r="F18" s="12"/>
      <c r="G18" s="179"/>
    </row>
    <row r="20" spans="2:11" x14ac:dyDescent="0.25">
      <c r="B20" s="428" t="s">
        <v>318</v>
      </c>
      <c r="C20" s="25"/>
      <c r="D20" s="25"/>
      <c r="E20" s="25"/>
      <c r="F20" s="12"/>
      <c r="I20" s="1"/>
    </row>
    <row r="21" spans="2:11" ht="29.45" customHeight="1" x14ac:dyDescent="0.25">
      <c r="B21" s="42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5" t="str">
        <f>CONCATENATE("Omlægning til permanent græs, ", Organ6,", hektar")</f>
        <v>Omlægning til permanent græs, OC6, hektar</v>
      </c>
      <c r="C24" s="326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5" t="str">
        <f>CONCATENATE("Omlægning til permanent græs, ", Organ12, ", hektar")</f>
        <v>Omlægning til permanent græs, OC12, hektar</v>
      </c>
      <c r="C25" s="326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5" t="str">
        <f>CONCATENATE("Antal hektar som 1% svarer til, ", Organ6)</f>
        <v>Antal hektar som 1% svarer til, OC6</v>
      </c>
      <c r="C26" s="326"/>
      <c r="D26" s="10">
        <f>1%*Arealanvendelse!N6</f>
        <v>1005.02</v>
      </c>
      <c r="E26" s="10">
        <f>1%*Arealanvendelse!Q6</f>
        <v>1005.02</v>
      </c>
      <c r="F26" s="12"/>
      <c r="I26" s="1"/>
    </row>
    <row r="27" spans="2:11" ht="15.75" thickBot="1" x14ac:dyDescent="0.3">
      <c r="B27" s="327" t="str">
        <f>CONCATENATE("Antal hektar som 1% svarer til, ", Organ12)</f>
        <v>Antal hektar som 1% svarer til, OC12</v>
      </c>
      <c r="C27" s="328"/>
      <c r="D27" s="116">
        <f>1%*Arealanvendelse!O6</f>
        <v>772.32</v>
      </c>
      <c r="E27" s="116">
        <f>1%*Arealanvendelse!R6</f>
        <v>772.32</v>
      </c>
      <c r="F27" s="4"/>
      <c r="G27" s="12"/>
      <c r="H27" s="12"/>
      <c r="I27" s="1"/>
    </row>
    <row r="28" spans="2:11" ht="15.75" thickBot="1" x14ac:dyDescent="0.3">
      <c r="B28" s="231" t="s">
        <v>261</v>
      </c>
      <c r="C28" s="232"/>
      <c r="D28" s="230">
        <f>SUM(D24:D25)</f>
        <v>0</v>
      </c>
      <c r="E28" s="230">
        <f>SUM(E24:E25)</f>
        <v>0</v>
      </c>
      <c r="F28" s="324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6" t="s">
        <v>317</v>
      </c>
      <c r="C30" s="25"/>
      <c r="D30" s="25"/>
      <c r="E30" s="25"/>
      <c r="K30" s="12"/>
    </row>
    <row r="31" spans="2:11" x14ac:dyDescent="0.25">
      <c r="B31" s="42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1">
        <f>'[1]Afgrødefordeling - jordtype'!$Y4</f>
        <v>0.53753334285647836</v>
      </c>
      <c r="D32" s="90">
        <f>C32</f>
        <v>0.53753334285647836</v>
      </c>
      <c r="E32" s="90">
        <f t="shared" ref="E32:E45" si="7">D32</f>
        <v>0.53753334285647836</v>
      </c>
      <c r="K32" s="12"/>
    </row>
    <row r="33" spans="2:11" x14ac:dyDescent="0.25">
      <c r="B33" s="2" t="str">
        <f>[1]Afgrødefordeling!$C3</f>
        <v>Bælgsæd</v>
      </c>
      <c r="C33" s="321">
        <f>'[1]Afgrødefordeling - jordtype'!$Y5</f>
        <v>3.0976273829928767E-2</v>
      </c>
      <c r="D33" s="90">
        <f t="shared" ref="D33:E33" si="8">C33</f>
        <v>3.0976273829928767E-2</v>
      </c>
      <c r="E33" s="90">
        <f t="shared" si="7"/>
        <v>3.0976273829928767E-2</v>
      </c>
      <c r="K33" s="12"/>
    </row>
    <row r="34" spans="2:11" x14ac:dyDescent="0.25">
      <c r="B34" s="2" t="str">
        <f>[1]Afgrødefordeling!$C4</f>
        <v>Raps</v>
      </c>
      <c r="C34" s="321">
        <f>'[1]Afgrødefordeling - jordtype'!$Y6</f>
        <v>6.5329688585482673E-2</v>
      </c>
      <c r="D34" s="90">
        <f t="shared" ref="D34:E34" si="9">C34</f>
        <v>6.5329688585482673E-2</v>
      </c>
      <c r="E34" s="90">
        <f t="shared" si="7"/>
        <v>6.5329688585482673E-2</v>
      </c>
      <c r="K34" s="12"/>
    </row>
    <row r="35" spans="2:11" x14ac:dyDescent="0.25">
      <c r="B35" s="2" t="str">
        <f>[1]Afgrødefordeling!$C5</f>
        <v>Græs</v>
      </c>
      <c r="C35" s="321">
        <f>'[1]Afgrødefordeling - jordtype'!$Y7</f>
        <v>0.10115967422642448</v>
      </c>
      <c r="D35" s="90">
        <f t="shared" ref="D35:E35" si="10">C35</f>
        <v>0.10115967422642448</v>
      </c>
      <c r="E35" s="90">
        <f t="shared" si="7"/>
        <v>0.10115967422642448</v>
      </c>
      <c r="K35" s="12"/>
    </row>
    <row r="36" spans="2:11" x14ac:dyDescent="0.25">
      <c r="B36" s="2" t="str">
        <f>[1]Afgrødefordeling!$C6</f>
        <v>Grøntsager</v>
      </c>
      <c r="C36" s="321">
        <f>'[1]Afgrødefordeling - jordtype'!$Y8</f>
        <v>5.2060865589185204E-3</v>
      </c>
      <c r="D36" s="90">
        <f t="shared" ref="D36:E36" si="11">C36</f>
        <v>5.2060865589185204E-3</v>
      </c>
      <c r="E36" s="90">
        <f t="shared" si="7"/>
        <v>5.2060865589185204E-3</v>
      </c>
      <c r="K36" s="12"/>
    </row>
    <row r="37" spans="2:11" x14ac:dyDescent="0.25">
      <c r="B37" s="2" t="str">
        <f>[1]Afgrødefordeling!$C7</f>
        <v>Kartofler</v>
      </c>
      <c r="C37" s="321">
        <f>'[1]Afgrødefordeling - jordtype'!$Y9</f>
        <v>2.189728375215861E-2</v>
      </c>
      <c r="D37" s="90">
        <f t="shared" ref="D37:E37" si="12">C37</f>
        <v>2.189728375215861E-2</v>
      </c>
      <c r="E37" s="90">
        <f t="shared" si="7"/>
        <v>2.189728375215861E-2</v>
      </c>
      <c r="K37" s="12"/>
    </row>
    <row r="38" spans="2:11" x14ac:dyDescent="0.25">
      <c r="B38" s="2" t="str">
        <f>[1]Afgrødefordeling!$C8</f>
        <v>Roer</v>
      </c>
      <c r="C38" s="321">
        <f>'[1]Afgrødefordeling - jordtype'!$Y10</f>
        <v>1.3466912404096722E-2</v>
      </c>
      <c r="D38" s="90">
        <f t="shared" ref="D38:E38" si="13">C38</f>
        <v>1.3466912404096722E-2</v>
      </c>
      <c r="E38" s="90">
        <f t="shared" si="7"/>
        <v>1.3466912404096722E-2</v>
      </c>
      <c r="K38" s="12"/>
    </row>
    <row r="39" spans="2:11" x14ac:dyDescent="0.25">
      <c r="B39" s="2" t="str">
        <f>[1]Afgrødefordeling!$C9</f>
        <v>Majs</v>
      </c>
      <c r="C39" s="321">
        <f>'[1]Afgrødefordeling - jordtype'!$Y11</f>
        <v>7.2759287296729286E-2</v>
      </c>
      <c r="D39" s="90">
        <f t="shared" ref="D39:E39" si="14">C39</f>
        <v>7.2759287296729286E-2</v>
      </c>
      <c r="E39" s="90">
        <f t="shared" si="7"/>
        <v>7.2759287296729286E-2</v>
      </c>
      <c r="K39" s="12"/>
    </row>
    <row r="40" spans="2:11" x14ac:dyDescent="0.25">
      <c r="B40" s="2" t="str">
        <f>[1]Afgrødefordeling!$C10</f>
        <v>Frugt</v>
      </c>
      <c r="C40" s="321">
        <f>'[1]Afgrødefordeling - jordtype'!$Y12</f>
        <v>2.0301913757470973E-3</v>
      </c>
      <c r="D40" s="90">
        <f t="shared" ref="D40:E40" si="15">C40</f>
        <v>2.0301913757470973E-3</v>
      </c>
      <c r="E40" s="90">
        <f t="shared" si="7"/>
        <v>2.0301913757470973E-3</v>
      </c>
      <c r="K40" s="12"/>
    </row>
    <row r="41" spans="2:11" x14ac:dyDescent="0.25">
      <c r="B41" s="2" t="str">
        <f>[1]Afgrødefordeling!$C11</f>
        <v>Øvrige</v>
      </c>
      <c r="C41" s="321">
        <f>'[1]Afgrødefordeling - jordtype'!$Y13</f>
        <v>2.7968670218625629E-2</v>
      </c>
      <c r="D41" s="90">
        <f t="shared" ref="D41:E41" si="16">C41</f>
        <v>2.7968670218625629E-2</v>
      </c>
      <c r="E41" s="90">
        <f t="shared" si="7"/>
        <v>2.7968670218625629E-2</v>
      </c>
      <c r="K41" s="12"/>
    </row>
    <row r="42" spans="2:11" x14ac:dyDescent="0.25">
      <c r="B42" s="2" t="str">
        <f>[1]Afgrødefordeling!$C12</f>
        <v>Frø</v>
      </c>
      <c r="C42" s="321">
        <f>'[1]Afgrødefordeling - jordtype'!$Y14</f>
        <v>4.0395307311065158E-2</v>
      </c>
      <c r="D42" s="90">
        <f t="shared" ref="D42:E42" si="17">C42</f>
        <v>4.0395307311065158E-2</v>
      </c>
      <c r="E42" s="90">
        <f t="shared" si="7"/>
        <v>4.0395307311065158E-2</v>
      </c>
      <c r="K42" s="12"/>
    </row>
    <row r="43" spans="2:11" x14ac:dyDescent="0.25">
      <c r="B43" s="2" t="str">
        <f>[1]Afgrødefordeling!$C13</f>
        <v>Juletræer</v>
      </c>
      <c r="C43" s="321">
        <f>'[1]Afgrødefordeling - jordtype'!$Y15</f>
        <v>7.5869349743828522E-3</v>
      </c>
      <c r="D43" s="90">
        <f t="shared" ref="D43:E43" si="18">C43</f>
        <v>7.5869349743828522E-3</v>
      </c>
      <c r="E43" s="90">
        <f t="shared" si="7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1">
        <f>'[1]Afgrødefordeling - jordtype'!$Y16</f>
        <v>2.9175094799916215E-3</v>
      </c>
      <c r="D44" s="90">
        <f t="shared" ref="D44:E44" si="19">C44</f>
        <v>2.9175094799916215E-3</v>
      </c>
      <c r="E44" s="90">
        <f t="shared" si="7"/>
        <v>2.9175094799916215E-3</v>
      </c>
      <c r="K44" s="12"/>
    </row>
    <row r="45" spans="2:11" x14ac:dyDescent="0.25">
      <c r="B45" s="2" t="str">
        <f>[1]Afgrødefordeling!$C15</f>
        <v>Permanent græs</v>
      </c>
      <c r="C45" s="321">
        <f>'[1]Afgrødefordeling - jordtype'!$Y17</f>
        <v>7.0772837129970206E-2</v>
      </c>
      <c r="D45" s="90">
        <f t="shared" ref="D45:E45" si="20">C45</f>
        <v>7.0772837129970206E-2</v>
      </c>
      <c r="E45" s="90">
        <f t="shared" si="7"/>
        <v>7.0772837129970206E-2</v>
      </c>
      <c r="K45" s="12"/>
    </row>
    <row r="46" spans="2:11" x14ac:dyDescent="0.25">
      <c r="B46" s="25" t="s">
        <v>283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240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239</v>
      </c>
      <c r="C48" s="109"/>
      <c r="D48" s="115">
        <f>1%*Arealanvendelse!M6</f>
        <v>23999.360000000001</v>
      </c>
      <c r="E48" s="115">
        <f>1%*Arealanvendelse!P6</f>
        <v>23999.360000000001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149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  <row r="56" spans="2:8" x14ac:dyDescent="0.25">
      <c r="C56" s="421"/>
      <c r="D56" s="421"/>
      <c r="E56" s="421"/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B1" sqref="B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6" t="s">
        <v>266</v>
      </c>
    </row>
    <row r="2" spans="1:9" ht="15.75" thickBot="1" x14ac:dyDescent="0.3">
      <c r="A2" s="310"/>
      <c r="B2" s="310"/>
      <c r="C2" s="310">
        <f>År1</f>
        <v>2019</v>
      </c>
      <c r="D2" s="310">
        <f>År2</f>
        <v>2030</v>
      </c>
      <c r="E2" s="310">
        <f>År3</f>
        <v>2050</v>
      </c>
      <c r="F2" s="310" t="s">
        <v>309</v>
      </c>
    </row>
    <row r="3" spans="1:9" x14ac:dyDescent="0.25">
      <c r="A3" s="311" t="str">
        <f>'[1]Processer - data'!$D440</f>
        <v>Korn</v>
      </c>
      <c r="B3" s="12" t="s">
        <v>131</v>
      </c>
      <c r="C3" s="119">
        <f>VLOOKUP(A3,[1]Foder!$A$2:$E$16,5,FALSE)</f>
        <v>0.39994582515067378</v>
      </c>
      <c r="D3" s="309">
        <v>0.4</v>
      </c>
      <c r="E3" s="309">
        <v>0.39700000000000002</v>
      </c>
      <c r="I3" s="240"/>
    </row>
    <row r="4" spans="1:9" x14ac:dyDescent="0.25">
      <c r="A4" s="2" t="str">
        <f>'[1]Processer - data'!$D441</f>
        <v>Halm</v>
      </c>
      <c r="B4" s="12" t="s">
        <v>131</v>
      </c>
      <c r="C4" s="119">
        <f>VLOOKUP(A4,[1]Foder!$A$2:$E$16,5,FALSE)</f>
        <v>1.1105844111871065E-2</v>
      </c>
      <c r="D4" s="309">
        <v>0.01</v>
      </c>
      <c r="E4" s="309">
        <f t="shared" ref="D4:E12" si="0">D4</f>
        <v>0.01</v>
      </c>
      <c r="I4" s="240"/>
    </row>
    <row r="5" spans="1:9" x14ac:dyDescent="0.25">
      <c r="A5" s="2" t="str">
        <f>'[1]Processer - data'!$D442</f>
        <v>Kartofler</v>
      </c>
      <c r="B5" s="12" t="s">
        <v>131</v>
      </c>
      <c r="C5" s="119">
        <f>VLOOKUP(A5,[1]Foder!$A$2:$E$16,5,FALSE)</f>
        <v>0</v>
      </c>
      <c r="D5" s="309">
        <f t="shared" si="0"/>
        <v>0</v>
      </c>
      <c r="E5" s="309">
        <f t="shared" si="0"/>
        <v>0</v>
      </c>
      <c r="I5" s="240"/>
    </row>
    <row r="6" spans="1:9" x14ac:dyDescent="0.25">
      <c r="A6" s="2" t="str">
        <f>'[1]Processer - data'!$D443</f>
        <v>Bælgsæd</v>
      </c>
      <c r="B6" s="12" t="s">
        <v>131</v>
      </c>
      <c r="C6" s="119">
        <f>VLOOKUP(A6,[1]Foder!$A$2:$E$16,5,FALSE)</f>
        <v>5.2820478093045303E-3</v>
      </c>
      <c r="D6" s="309">
        <f t="shared" si="0"/>
        <v>5.2820478093045303E-3</v>
      </c>
      <c r="E6" s="309">
        <f t="shared" si="0"/>
        <v>5.2820478093045303E-3</v>
      </c>
      <c r="I6" s="240"/>
    </row>
    <row r="7" spans="1:9" x14ac:dyDescent="0.25">
      <c r="A7" s="2" t="str">
        <f>'[1]Processer - data'!$D444</f>
        <v>Roer</v>
      </c>
      <c r="B7" s="12" t="s">
        <v>131</v>
      </c>
      <c r="C7" s="119">
        <f>VLOOKUP(A7,[1]Foder!$A$2:$E$16,5,FALSE)</f>
        <v>9.683754317058306E-3</v>
      </c>
      <c r="D7" s="309">
        <v>2.1000000000000001E-2</v>
      </c>
      <c r="E7" s="309">
        <v>8.5999999999999993E-2</v>
      </c>
      <c r="I7" s="240"/>
    </row>
    <row r="8" spans="1:9" x14ac:dyDescent="0.25">
      <c r="A8" s="2" t="str">
        <f>'[1]Processer - data'!$D445</f>
        <v>Majs</v>
      </c>
      <c r="B8" s="12" t="s">
        <v>131</v>
      </c>
      <c r="C8" s="119">
        <f>VLOOKUP(A8,[1]Foder!$A$2:$E$16,5,FALSE)</f>
        <v>0.1132931536534164</v>
      </c>
      <c r="D8" s="309">
        <v>0.115</v>
      </c>
      <c r="E8" s="309">
        <v>0.124</v>
      </c>
      <c r="I8" s="240"/>
    </row>
    <row r="9" spans="1:9" x14ac:dyDescent="0.25">
      <c r="A9" s="2" t="str">
        <f>'[1]Processer - data'!$D446</f>
        <v>Rapskage</v>
      </c>
      <c r="B9" s="12" t="s">
        <v>131</v>
      </c>
      <c r="C9" s="119">
        <f>VLOOKUP(A9,[1]Foder!$A$2:$E$16,5,FALSE)</f>
        <v>1.6320173359517843E-2</v>
      </c>
      <c r="D9" s="309">
        <v>0.02</v>
      </c>
      <c r="E9" s="309">
        <v>0.02</v>
      </c>
      <c r="I9" s="240"/>
    </row>
    <row r="10" spans="1:9" x14ac:dyDescent="0.25">
      <c r="A10" s="2" t="str">
        <f>'[1]Processer - data'!$D447</f>
        <v>Tang</v>
      </c>
      <c r="B10" s="12" t="s">
        <v>131</v>
      </c>
      <c r="C10" s="119">
        <f>VLOOKUP(A10,[1]Foder!$A$2:$E$16,5,FALSE)</f>
        <v>0</v>
      </c>
      <c r="D10" s="309">
        <v>0.01</v>
      </c>
      <c r="E10" s="309">
        <f t="shared" si="0"/>
        <v>0.01</v>
      </c>
      <c r="I10" s="240"/>
    </row>
    <row r="11" spans="1:9" x14ac:dyDescent="0.25">
      <c r="A11" s="2" t="str">
        <f>'[1]Processer - data'!$D448</f>
        <v>Muslinger</v>
      </c>
      <c r="B11" s="12" t="s">
        <v>131</v>
      </c>
      <c r="C11" s="119">
        <f>VLOOKUP(A11,[1]Foder!$A$2:$E$16,5,FALSE)</f>
        <v>0</v>
      </c>
      <c r="D11" s="309">
        <v>1.4999999999999999E-2</v>
      </c>
      <c r="E11" s="309">
        <v>2.5000000000000001E-2</v>
      </c>
      <c r="I11" s="240"/>
    </row>
    <row r="12" spans="1:9" x14ac:dyDescent="0.25">
      <c r="A12" s="2" t="str">
        <f>'[1]Processer - data'!$D449</f>
        <v>Græs</v>
      </c>
      <c r="B12" s="12" t="s">
        <v>131</v>
      </c>
      <c r="C12" s="119">
        <f>VLOOKUP(A12,[1]Foder!$A$2:$E$16,5,FALSE)</f>
        <v>0.15385657208640888</v>
      </c>
      <c r="D12" s="309">
        <v>0.15</v>
      </c>
      <c r="E12" s="309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131</v>
      </c>
      <c r="C13" s="119">
        <f>VLOOKUP(A13,[1]Foder!$A$2:$E$16,5,FALSE)</f>
        <v>1.1038125550213313E-2</v>
      </c>
      <c r="D13" s="309">
        <v>0.01</v>
      </c>
      <c r="E13" s="309">
        <v>0.01</v>
      </c>
    </row>
    <row r="14" spans="1:9" x14ac:dyDescent="0.25">
      <c r="A14" s="2" t="str">
        <f>'[1]Processer - data'!$D451</f>
        <v>Fiberfraktion</v>
      </c>
      <c r="B14" s="12" t="s">
        <v>131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310</v>
      </c>
    </row>
    <row r="15" spans="1:9" x14ac:dyDescent="0.25">
      <c r="A15" s="2" t="str">
        <f>'[1]Processer - data'!$D452</f>
        <v>Græsprotein</v>
      </c>
      <c r="B15" s="12" t="s">
        <v>131</v>
      </c>
      <c r="C15" s="119">
        <f>VLOOKUP(A15,[1]Foder!$A$2:$E$16,5,FALSE)</f>
        <v>0</v>
      </c>
      <c r="D15" s="309">
        <v>0.08</v>
      </c>
      <c r="E15" s="309">
        <v>0.124</v>
      </c>
    </row>
    <row r="16" spans="1:9" x14ac:dyDescent="0.25">
      <c r="A16" s="2" t="str">
        <f>'[1]Processer - data'!$D453</f>
        <v>Slagteriaffald til foder</v>
      </c>
      <c r="B16" s="12" t="s">
        <v>131</v>
      </c>
      <c r="C16" s="119">
        <f>VLOOKUP(A16,[1]Foder!$A$2:$E$16,5,FALSE)</f>
        <v>8.1939459605877979E-3</v>
      </c>
      <c r="D16" s="309">
        <v>8.9999999999999993E-3</v>
      </c>
      <c r="E16" s="309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131</v>
      </c>
      <c r="C17" s="119">
        <f>VLOOKUP(A17,[1]Foder!$A$2:$E$16,5,FALSE)</f>
        <v>0.27128055800094808</v>
      </c>
      <c r="D17" s="309">
        <f>C17/2</f>
        <v>0.13564027900047404</v>
      </c>
      <c r="E17" s="309">
        <v>0</v>
      </c>
      <c r="F17" s="310"/>
    </row>
    <row r="18" spans="1:6" ht="15.75" thickBot="1" x14ac:dyDescent="0.3">
      <c r="A18" s="241" t="s">
        <v>30</v>
      </c>
      <c r="B18" s="241" t="s">
        <v>131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3" t="s">
        <v>311</v>
      </c>
    </row>
    <row r="20" spans="1:6" x14ac:dyDescent="0.25">
      <c r="D20" s="421"/>
      <c r="E20" s="421"/>
    </row>
    <row r="21" spans="1:6" x14ac:dyDescent="0.25">
      <c r="D21" s="421"/>
      <c r="E21" s="421"/>
    </row>
    <row r="22" spans="1:6" x14ac:dyDescent="0.25">
      <c r="D22" s="421"/>
      <c r="E22" s="421"/>
    </row>
    <row r="23" spans="1:6" x14ac:dyDescent="0.25">
      <c r="D23" s="421"/>
      <c r="E23" s="421"/>
    </row>
    <row r="24" spans="1:6" x14ac:dyDescent="0.25">
      <c r="D24" s="421"/>
      <c r="E24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5" t="s">
        <v>266</v>
      </c>
    </row>
    <row r="2" spans="1:4" x14ac:dyDescent="0.25">
      <c r="A2" s="103" t="s">
        <v>245</v>
      </c>
    </row>
    <row r="3" spans="1:4" x14ac:dyDescent="0.25">
      <c r="A3" s="6" t="s">
        <v>180</v>
      </c>
      <c r="B3" s="1" t="s">
        <v>168</v>
      </c>
    </row>
    <row r="4" spans="1:4" x14ac:dyDescent="0.25">
      <c r="A4" s="6" t="s">
        <v>174</v>
      </c>
      <c r="B4" s="1" t="s">
        <v>169</v>
      </c>
    </row>
    <row r="5" spans="1:4" x14ac:dyDescent="0.25">
      <c r="A5" s="6" t="s">
        <v>175</v>
      </c>
      <c r="B5" s="1" t="s">
        <v>170</v>
      </c>
    </row>
    <row r="6" spans="1:4" x14ac:dyDescent="0.25">
      <c r="A6" s="6" t="s">
        <v>176</v>
      </c>
      <c r="B6" s="1" t="s">
        <v>184</v>
      </c>
    </row>
    <row r="7" spans="1:4" x14ac:dyDescent="0.25">
      <c r="A7" s="6" t="s">
        <v>177</v>
      </c>
      <c r="B7" s="1" t="s">
        <v>185</v>
      </c>
    </row>
    <row r="8" spans="1:4" x14ac:dyDescent="0.25">
      <c r="A8" s="6" t="s">
        <v>178</v>
      </c>
      <c r="B8" s="1" t="s">
        <v>186</v>
      </c>
    </row>
    <row r="9" spans="1:4" x14ac:dyDescent="0.25">
      <c r="A9" s="2" t="s">
        <v>275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274</v>
      </c>
      <c r="B11" s="2"/>
      <c r="C11" s="2"/>
      <c r="D11" s="2"/>
    </row>
    <row r="12" spans="1:4" x14ac:dyDescent="0.25">
      <c r="A12" s="2" t="s">
        <v>181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174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175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176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177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29" t="s">
        <v>178</v>
      </c>
      <c r="B17" s="330">
        <v>0</v>
      </c>
      <c r="C17" s="333">
        <v>0</v>
      </c>
      <c r="D17" s="333"/>
    </row>
    <row r="18" spans="1:8" ht="15.75" thickBot="1" x14ac:dyDescent="0.3">
      <c r="A18" s="331" t="s">
        <v>30</v>
      </c>
      <c r="B18" s="332"/>
      <c r="C18" s="332">
        <f>SUM(C13:C17)</f>
        <v>1</v>
      </c>
      <c r="D18" s="332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182</v>
      </c>
      <c r="B21" s="181" t="s">
        <v>183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180</v>
      </c>
      <c r="B22" s="182" t="s">
        <v>179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174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5290.974115654346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4788.0641199478414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1548.693576126032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1401.4894011111037</v>
      </c>
    </row>
    <row r="24" spans="1:8" hidden="1" x14ac:dyDescent="0.25">
      <c r="A24" s="2" t="s">
        <v>174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543.83065202883154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5032.2990814310033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159.18184797116919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1472.9781492407274</v>
      </c>
    </row>
    <row r="25" spans="1:8" hidden="1" x14ac:dyDescent="0.25">
      <c r="A25" s="2" t="s">
        <v>174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5290.974115654346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1548.693576126032</v>
      </c>
    </row>
    <row r="26" spans="1:8" hidden="1" x14ac:dyDescent="0.25">
      <c r="A26" s="2" t="s">
        <v>174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542.03716796363005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158.65688655764725</v>
      </c>
    </row>
    <row r="27" spans="1:8" hidden="1" x14ac:dyDescent="0.25">
      <c r="A27" s="2" t="s">
        <v>175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5291.8036878354069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4923.2784450837808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1548.9363958941235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1441.0672845331133</v>
      </c>
    </row>
    <row r="28" spans="1:8" hidden="1" x14ac:dyDescent="0.25">
      <c r="A28" s="2" t="s">
        <v>175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543.0010798477706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5042.4757191929702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158.93902820307758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1475.9569000688373</v>
      </c>
    </row>
    <row r="29" spans="1:8" hidden="1" x14ac:dyDescent="0.25">
      <c r="A29" s="2" t="s">
        <v>175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5161.7294101353318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1510.8630290830242</v>
      </c>
    </row>
    <row r="30" spans="1:8" hidden="1" x14ac:dyDescent="0.25">
      <c r="A30" s="2" t="s">
        <v>175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525.89091058474264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153.93079935053419</v>
      </c>
    </row>
    <row r="31" spans="1:8" hidden="1" x14ac:dyDescent="0.25">
      <c r="A31" s="2" t="s">
        <v>176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5290.974115654346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4787.2594188863295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1548.693576126032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1401.2538612393473</v>
      </c>
    </row>
    <row r="32" spans="1:8" hidden="1" x14ac:dyDescent="0.25">
      <c r="A32" s="2" t="s">
        <v>176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543.83065202883154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5032.2990814310033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159.18184797116919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1472.9781492407274</v>
      </c>
    </row>
    <row r="33" spans="1:10" hidden="1" x14ac:dyDescent="0.25">
      <c r="A33" s="2" t="s">
        <v>176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5290.974115654346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1548.693576126032</v>
      </c>
    </row>
    <row r="34" spans="1:10" hidden="1" x14ac:dyDescent="0.25">
      <c r="A34" s="2" t="s">
        <v>176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542.84186902514273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158.89242642940343</v>
      </c>
    </row>
    <row r="35" spans="1:10" hidden="1" x14ac:dyDescent="0.25">
      <c r="A35" s="2" t="s">
        <v>177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5292.1678902563608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4939.8805526239648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1549.0429996947491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1445.9268012753287</v>
      </c>
    </row>
    <row r="36" spans="1:10" hidden="1" x14ac:dyDescent="0.25">
      <c r="A36" s="2" t="s">
        <v>177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542.63687742681702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5046.0005830022692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158.83242440245198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1476.9886446623382</v>
      </c>
    </row>
    <row r="37" spans="1:10" hidden="1" x14ac:dyDescent="0.25">
      <c r="A37" s="2" t="s">
        <v>177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5142.2881571575344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1505.1724808133822</v>
      </c>
    </row>
    <row r="38" spans="1:10" hidden="1" x14ac:dyDescent="0.25">
      <c r="A38" s="2" t="s">
        <v>177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525.20519221305642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153.73008628446181</v>
      </c>
    </row>
    <row r="39" spans="1:10" hidden="1" x14ac:dyDescent="0.25">
      <c r="A39" s="2" t="s">
        <v>178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178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178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178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9" t="s">
        <v>282</v>
      </c>
      <c r="B47" s="2" t="s">
        <v>23</v>
      </c>
      <c r="C47" s="2"/>
      <c r="D47" s="2"/>
      <c r="E47" s="2" t="s">
        <v>24</v>
      </c>
      <c r="F47" s="2"/>
      <c r="G47" s="2"/>
      <c r="H47" s="1" t="s">
        <v>321</v>
      </c>
    </row>
    <row r="48" spans="1:10" hidden="1" x14ac:dyDescent="0.25">
      <c r="A48" s="430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180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174</v>
      </c>
      <c r="B50" s="109">
        <f t="shared" si="0"/>
        <v>0</v>
      </c>
      <c r="C50" s="109">
        <f t="shared" ca="1" si="0"/>
        <v>5834.8047676831775</v>
      </c>
      <c r="D50" s="109">
        <f t="shared" ca="1" si="0"/>
        <v>15653.374484996821</v>
      </c>
      <c r="E50" s="109">
        <f t="shared" ca="1" si="0"/>
        <v>0</v>
      </c>
      <c r="F50" s="109">
        <f t="shared" ca="1" si="0"/>
        <v>1707.8754240972012</v>
      </c>
      <c r="G50" s="109">
        <f t="shared" ca="1" si="0"/>
        <v>4581.8180130355104</v>
      </c>
      <c r="H50" s="109">
        <f t="shared" ref="H50:H54" ca="1" si="2">SUM(B50,E50)</f>
        <v>0</v>
      </c>
      <c r="I50" s="109">
        <f t="shared" ca="1" si="1"/>
        <v>7542.6801917803787</v>
      </c>
      <c r="J50" s="109">
        <f t="shared" ca="1" si="1"/>
        <v>20235.192498032331</v>
      </c>
    </row>
    <row r="51" spans="1:10" hidden="1" x14ac:dyDescent="0.25">
      <c r="A51" s="2" t="s">
        <v>175</v>
      </c>
      <c r="B51" s="109">
        <f t="shared" si="0"/>
        <v>0</v>
      </c>
      <c r="C51" s="109">
        <f ca="1">SUMIF($A$22:$A$42,$A51,D$22:D$42)</f>
        <v>5834.8047676831775</v>
      </c>
      <c r="D51" s="109">
        <f t="shared" ca="1" si="0"/>
        <v>15653.374484996826</v>
      </c>
      <c r="E51" s="109">
        <f t="shared" ca="1" si="0"/>
        <v>0</v>
      </c>
      <c r="F51" s="109">
        <f t="shared" ca="1" si="0"/>
        <v>1707.8754240972012</v>
      </c>
      <c r="G51" s="109">
        <f t="shared" ca="1" si="0"/>
        <v>4581.8180130355095</v>
      </c>
      <c r="H51" s="109">
        <f t="shared" ca="1" si="2"/>
        <v>0</v>
      </c>
      <c r="I51" s="109">
        <f t="shared" ca="1" si="1"/>
        <v>7542.6801917803787</v>
      </c>
      <c r="J51" s="109">
        <f t="shared" ca="1" si="1"/>
        <v>20235.192498032335</v>
      </c>
    </row>
    <row r="52" spans="1:10" hidden="1" x14ac:dyDescent="0.25">
      <c r="A52" s="2" t="s">
        <v>176</v>
      </c>
      <c r="B52" s="109">
        <f t="shared" si="0"/>
        <v>0</v>
      </c>
      <c r="C52" s="109">
        <f t="shared" ca="1" si="0"/>
        <v>5834.8047676831775</v>
      </c>
      <c r="D52" s="109">
        <f t="shared" ca="1" si="0"/>
        <v>15653.374484996821</v>
      </c>
      <c r="E52" s="109">
        <f t="shared" ca="1" si="0"/>
        <v>0</v>
      </c>
      <c r="F52" s="109">
        <f t="shared" ca="1" si="0"/>
        <v>1707.8754240972012</v>
      </c>
      <c r="G52" s="109">
        <f t="shared" ca="1" si="0"/>
        <v>4581.8180130355104</v>
      </c>
      <c r="H52" s="109">
        <f t="shared" ca="1" si="2"/>
        <v>0</v>
      </c>
      <c r="I52" s="109">
        <f t="shared" ca="1" si="1"/>
        <v>7542.6801917803787</v>
      </c>
      <c r="J52" s="109">
        <f t="shared" ca="1" si="1"/>
        <v>20235.192498032331</v>
      </c>
    </row>
    <row r="53" spans="1:10" hidden="1" x14ac:dyDescent="0.25">
      <c r="A53" s="2" t="s">
        <v>177</v>
      </c>
      <c r="B53" s="109">
        <f t="shared" si="0"/>
        <v>0</v>
      </c>
      <c r="C53" s="109">
        <f t="shared" ca="1" si="0"/>
        <v>5834.8047676831775</v>
      </c>
      <c r="D53" s="109">
        <f t="shared" ca="1" si="0"/>
        <v>15653.374484996824</v>
      </c>
      <c r="E53" s="109">
        <f t="shared" ca="1" si="0"/>
        <v>0</v>
      </c>
      <c r="F53" s="109">
        <f t="shared" ca="1" si="0"/>
        <v>1707.8754240972012</v>
      </c>
      <c r="G53" s="109">
        <f t="shared" ca="1" si="0"/>
        <v>4581.8180130355113</v>
      </c>
      <c r="H53" s="109">
        <f t="shared" ca="1" si="2"/>
        <v>0</v>
      </c>
      <c r="I53" s="109">
        <f t="shared" ca="1" si="1"/>
        <v>7542.6801917803787</v>
      </c>
      <c r="J53" s="109">
        <f t="shared" ca="1" si="1"/>
        <v>20235.192498032335</v>
      </c>
    </row>
    <row r="54" spans="1:10" hidden="1" x14ac:dyDescent="0.25">
      <c r="A54" s="2" t="s">
        <v>178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322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116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4" t="s">
        <v>117</v>
      </c>
      <c r="B60" s="330">
        <f>'[1]Processer - data'!$H424</f>
        <v>0.52</v>
      </c>
      <c r="C60" s="333">
        <f>B60</f>
        <v>0.52</v>
      </c>
      <c r="D60" s="333">
        <f>C60</f>
        <v>0.52</v>
      </c>
    </row>
    <row r="61" spans="1:10" ht="15.75" thickBot="1" x14ac:dyDescent="0.3">
      <c r="A61" s="331" t="s">
        <v>30</v>
      </c>
      <c r="B61" s="332">
        <f>SUM(B59:B60)</f>
        <v>1</v>
      </c>
      <c r="C61" s="332">
        <f t="shared" ref="C61:D61" si="3">SUM(C59:C60)</f>
        <v>1</v>
      </c>
      <c r="D61" s="33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324</v>
      </c>
      <c r="E1" s="168" t="s">
        <v>323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174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543.83065202883154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543.83065202883154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174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541.11149876867421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541.11149876867421</v>
      </c>
      <c r="G3" s="168">
        <f ca="1">IF($C3-G$1&lt;År1,0,F2*(1-VLOOKUP($A3,[1]Hugst!$R$5:$W$9,MATCH(ROUNDUP((G$1)/10,0)*10,[1]Hugst!$R$4:$W$4,0))))</f>
        <v>543.83065202883154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174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538.40594127484655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538.40594127484655</v>
      </c>
      <c r="G4" s="168">
        <f ca="1">IF($C4-G$1&lt;År1,0,F3*(1-VLOOKUP($A4,[1]Hugst!$R$5:$W$9,MATCH(ROUNDUP((G$1)/10,0)*10,[1]Hugst!$R$4:$W$4,0))))</f>
        <v>541.11149876867421</v>
      </c>
      <c r="H4" s="168">
        <f ca="1">IF($C4-H$1&lt;År1,0,G3*(1-VLOOKUP($A4,[1]Hugst!$R$5:$W$9,MATCH(ROUNDUP((H$1)/10,0)*10,[1]Hugst!$R$4:$W$4,0))))</f>
        <v>543.83065202883154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174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535.71391156846948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535.71391156846948</v>
      </c>
      <c r="G5" s="168">
        <f ca="1">IF($C5-G$1&lt;År1,0,F4*(1-VLOOKUP($A5,[1]Hugst!$R$5:$W$9,MATCH(ROUNDUP((G$1)/10,0)*10,[1]Hugst!$R$4:$W$4,0))))</f>
        <v>538.40594127484655</v>
      </c>
      <c r="H5" s="168">
        <f ca="1">IF($C5-H$1&lt;År1,0,G4*(1-VLOOKUP($A5,[1]Hugst!$R$5:$W$9,MATCH(ROUNDUP((H$1)/10,0)*10,[1]Hugst!$R$4:$W$4,0))))</f>
        <v>541.11149876867421</v>
      </c>
      <c r="I5" s="168">
        <f ca="1">IF($C5-I$1&lt;År1,0,H4*(1-VLOOKUP($A5,[1]Hugst!$R$5:$W$9,MATCH(ROUNDUP((I$1)/10,0)*10,[1]Hugst!$R$4:$W$4,0))))</f>
        <v>543.83065202883154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174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533.03534201062575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533.03534201062575</v>
      </c>
      <c r="G6" s="168">
        <f ca="1">IF($C6-G$1&lt;År1,0,F5*(1-VLOOKUP($A6,[1]Hugst!$R$5:$W$9,MATCH(ROUNDUP((G$1)/10,0)*10,[1]Hugst!$R$4:$W$4,0))))</f>
        <v>535.71391156846948</v>
      </c>
      <c r="H6" s="168">
        <f ca="1">IF($C6-H$1&lt;År1,0,G5*(1-VLOOKUP($A6,[1]Hugst!$R$5:$W$9,MATCH(ROUNDUP((H$1)/10,0)*10,[1]Hugst!$R$4:$W$4,0))))</f>
        <v>538.40594127484655</v>
      </c>
      <c r="I6" s="168">
        <f ca="1">IF($C6-I$1&lt;År1,0,H5*(1-VLOOKUP($A6,[1]Hugst!$R$5:$W$9,MATCH(ROUNDUP((I$1)/10,0)*10,[1]Hugst!$R$4:$W$4,0))))</f>
        <v>541.11149876867421</v>
      </c>
      <c r="J6" s="168">
        <f ca="1">IF($C6-J$1&lt;År1,0,I5*(1-VLOOKUP($A6,[1]Hugst!$R$5:$W$9,MATCH(ROUNDUP((J$1)/10,0)*10,[1]Hugst!$R$4:$W$4,0))))</f>
        <v>543.83065202883154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174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530.37016530057008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530.37016530057008</v>
      </c>
      <c r="G7" s="168">
        <f ca="1">IF($C7-G$1&lt;År1,0,F6*(1-VLOOKUP($A7,[1]Hugst!$R$5:$W$9,MATCH(ROUNDUP((G$1)/10,0)*10,[1]Hugst!$R$4:$W$4,0))))</f>
        <v>533.03534201062575</v>
      </c>
      <c r="H7" s="168">
        <f ca="1">IF($C7-H$1&lt;År1,0,G6*(1-VLOOKUP($A7,[1]Hugst!$R$5:$W$9,MATCH(ROUNDUP((H$1)/10,0)*10,[1]Hugst!$R$4:$W$4,0))))</f>
        <v>535.71391156846948</v>
      </c>
      <c r="I7" s="168">
        <f ca="1">IF($C7-I$1&lt;År1,0,H6*(1-VLOOKUP($A7,[1]Hugst!$R$5:$W$9,MATCH(ROUNDUP((I$1)/10,0)*10,[1]Hugst!$R$4:$W$4,0))))</f>
        <v>538.40594127484655</v>
      </c>
      <c r="J7" s="168">
        <f ca="1">IF($C7-J$1&lt;År1,0,I6*(1-VLOOKUP($A7,[1]Hugst!$R$5:$W$9,MATCH(ROUNDUP((J$1)/10,0)*10,[1]Hugst!$R$4:$W$4,0))))</f>
        <v>541.11149876867421</v>
      </c>
      <c r="K7" s="168">
        <f ca="1">IF($C7-K$1&lt;År1,0,J6*(1-VLOOKUP($A7,[1]Hugst!$R$5:$W$9,MATCH(ROUNDUP((K$1)/10,0)*10,[1]Hugst!$R$4:$W$4,0))))</f>
        <v>543.83065202883154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174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527.71831447407021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527.71831447407021</v>
      </c>
      <c r="G8" s="168">
        <f ca="1">IF($C8-G$1&lt;År1,0,F7*(1-VLOOKUP($A8,[1]Hugst!$R$5:$W$9,MATCH(ROUNDUP((G$1)/10,0)*10,[1]Hugst!$R$4:$W$4,0))))</f>
        <v>530.37016530057008</v>
      </c>
      <c r="H8" s="168">
        <f ca="1">IF($C8-H$1&lt;År1,0,G7*(1-VLOOKUP($A8,[1]Hugst!$R$5:$W$9,MATCH(ROUNDUP((H$1)/10,0)*10,[1]Hugst!$R$4:$W$4,0))))</f>
        <v>533.03534201062575</v>
      </c>
      <c r="I8" s="168">
        <f ca="1">IF($C8-I$1&lt;År1,0,H7*(1-VLOOKUP($A8,[1]Hugst!$R$5:$W$9,MATCH(ROUNDUP((I$1)/10,0)*10,[1]Hugst!$R$4:$W$4,0))))</f>
        <v>535.71391156846948</v>
      </c>
      <c r="J8" s="168">
        <f ca="1">IF($C8-J$1&lt;År1,0,I7*(1-VLOOKUP($A8,[1]Hugst!$R$5:$W$9,MATCH(ROUNDUP((J$1)/10,0)*10,[1]Hugst!$R$4:$W$4,0))))</f>
        <v>538.40594127484655</v>
      </c>
      <c r="K8" s="168">
        <f ca="1">IF($C8-K$1&lt;År1,0,J7*(1-VLOOKUP($A8,[1]Hugst!$R$5:$W$9,MATCH(ROUNDUP((K$1)/10,0)*10,[1]Hugst!$R$4:$W$4,0))))</f>
        <v>541.11149876867421</v>
      </c>
      <c r="L8" s="168">
        <f ca="1">IF($C8-L$1&lt;År1,0,K7*(1-VLOOKUP($A8,[1]Hugst!$R$5:$W$9,MATCH(ROUNDUP((L$1)/10,0)*10,[1]Hugst!$R$4:$W$4,0))))</f>
        <v>543.83065202883154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174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525.07972290170437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525.07972290170437</v>
      </c>
      <c r="G9" s="168">
        <f ca="1">IF($C9-G$1&lt;År1,0,F8*(1-VLOOKUP($A9,[1]Hugst!$R$5:$W$9,MATCH(ROUNDUP((G$1)/10,0)*10,[1]Hugst!$R$4:$W$4,0))))</f>
        <v>527.71831447407021</v>
      </c>
      <c r="H9" s="168">
        <f ca="1">IF($C9-H$1&lt;År1,0,G8*(1-VLOOKUP($A9,[1]Hugst!$R$5:$W$9,MATCH(ROUNDUP((H$1)/10,0)*10,[1]Hugst!$R$4:$W$4,0))))</f>
        <v>530.37016530057008</v>
      </c>
      <c r="I9" s="168">
        <f ca="1">IF($C9-I$1&lt;År1,0,H8*(1-VLOOKUP($A9,[1]Hugst!$R$5:$W$9,MATCH(ROUNDUP((I$1)/10,0)*10,[1]Hugst!$R$4:$W$4,0))))</f>
        <v>533.03534201062575</v>
      </c>
      <c r="J9" s="168">
        <f ca="1">IF($C9-J$1&lt;År1,0,I8*(1-VLOOKUP($A9,[1]Hugst!$R$5:$W$9,MATCH(ROUNDUP((J$1)/10,0)*10,[1]Hugst!$R$4:$W$4,0))))</f>
        <v>535.71391156846948</v>
      </c>
      <c r="K9" s="168">
        <f ca="1">IF($C9-K$1&lt;År1,0,J8*(1-VLOOKUP($A9,[1]Hugst!$R$5:$W$9,MATCH(ROUNDUP((K$1)/10,0)*10,[1]Hugst!$R$4:$W$4,0))))</f>
        <v>538.40594127484655</v>
      </c>
      <c r="L9" s="168">
        <f ca="1">IF($C9-L$1&lt;År1,0,K8*(1-VLOOKUP($A9,[1]Hugst!$R$5:$W$9,MATCH(ROUNDUP((L$1)/10,0)*10,[1]Hugst!$R$4:$W$4,0))))</f>
        <v>541.11149876867421</v>
      </c>
      <c r="M9" s="168">
        <f ca="1">IF($C9-M$1&lt;År1,0,L8*(1-VLOOKUP($A9,[1]Hugst!$R$5:$W$9,MATCH(ROUNDUP((M$1)/10,0)*10,[1]Hugst!$R$4:$W$4,0))))</f>
        <v>543.83065202883154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174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522.45432428720233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522.45432428720233</v>
      </c>
      <c r="G10" s="168">
        <f ca="1">IF($C10-G$1&lt;År1,0,F9*(1-VLOOKUP($A10,[1]Hugst!$R$5:$W$9,MATCH(ROUNDUP((G$1)/10,0)*10,[1]Hugst!$R$4:$W$4,0))))</f>
        <v>525.07972290170437</v>
      </c>
      <c r="H10" s="168">
        <f ca="1">IF($C10-H$1&lt;År1,0,G9*(1-VLOOKUP($A10,[1]Hugst!$R$5:$W$9,MATCH(ROUNDUP((H$1)/10,0)*10,[1]Hugst!$R$4:$W$4,0))))</f>
        <v>527.71831447407021</v>
      </c>
      <c r="I10" s="168">
        <f ca="1">IF($C10-I$1&lt;År1,0,H9*(1-VLOOKUP($A10,[1]Hugst!$R$5:$W$9,MATCH(ROUNDUP((I$1)/10,0)*10,[1]Hugst!$R$4:$W$4,0))))</f>
        <v>530.37016530057008</v>
      </c>
      <c r="J10" s="168">
        <f ca="1">IF($C10-J$1&lt;År1,0,I9*(1-VLOOKUP($A10,[1]Hugst!$R$5:$W$9,MATCH(ROUNDUP((J$1)/10,0)*10,[1]Hugst!$R$4:$W$4,0))))</f>
        <v>533.03534201062575</v>
      </c>
      <c r="K10" s="168">
        <f ca="1">IF($C10-K$1&lt;År1,0,J9*(1-VLOOKUP($A10,[1]Hugst!$R$5:$W$9,MATCH(ROUNDUP((K$1)/10,0)*10,[1]Hugst!$R$4:$W$4,0))))</f>
        <v>535.71391156846948</v>
      </c>
      <c r="L10" s="168">
        <f ca="1">IF($C10-L$1&lt;År1,0,K9*(1-VLOOKUP($A10,[1]Hugst!$R$5:$W$9,MATCH(ROUNDUP((L$1)/10,0)*10,[1]Hugst!$R$4:$W$4,0))))</f>
        <v>538.40594127484655</v>
      </c>
      <c r="M10" s="168">
        <f ca="1">IF($C10-M$1&lt;År1,0,L9*(1-VLOOKUP($A10,[1]Hugst!$R$5:$W$9,MATCH(ROUNDUP((M$1)/10,0)*10,[1]Hugst!$R$4:$W$4,0))))</f>
        <v>541.11149876867421</v>
      </c>
      <c r="N10" s="168">
        <f ca="1">IF($C10-N$1&lt;År1,0,M9*(1-VLOOKUP($A10,[1]Hugst!$R$5:$W$9,MATCH(ROUNDUP((N$1)/10,0)*10,[1]Hugst!$R$4:$W$4,0))))</f>
        <v>543.83065202883154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174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519.84205266574281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519.84205266574281</v>
      </c>
      <c r="G11" s="168">
        <f ca="1">IF($C11-G$1&lt;År1,0,F10*(1-VLOOKUP($A11,[1]Hugst!$R$5:$W$9,MATCH(ROUNDUP((G$1)/10,0)*10,[1]Hugst!$R$4:$W$4,0))))</f>
        <v>522.45432428720233</v>
      </c>
      <c r="H11" s="168">
        <f ca="1">IF($C11-H$1&lt;År1,0,G10*(1-VLOOKUP($A11,[1]Hugst!$R$5:$W$9,MATCH(ROUNDUP((H$1)/10,0)*10,[1]Hugst!$R$4:$W$4,0))))</f>
        <v>525.07972290170437</v>
      </c>
      <c r="I11" s="168">
        <f ca="1">IF($C11-I$1&lt;År1,0,H10*(1-VLOOKUP($A11,[1]Hugst!$R$5:$W$9,MATCH(ROUNDUP((I$1)/10,0)*10,[1]Hugst!$R$4:$W$4,0))))</f>
        <v>527.71831447407021</v>
      </c>
      <c r="J11" s="168">
        <f ca="1">IF($C11-J$1&lt;År1,0,I10*(1-VLOOKUP($A11,[1]Hugst!$R$5:$W$9,MATCH(ROUNDUP((J$1)/10,0)*10,[1]Hugst!$R$4:$W$4,0))))</f>
        <v>530.37016530057008</v>
      </c>
      <c r="K11" s="168">
        <f ca="1">IF($C11-K$1&lt;År1,0,J10*(1-VLOOKUP($A11,[1]Hugst!$R$5:$W$9,MATCH(ROUNDUP((K$1)/10,0)*10,[1]Hugst!$R$4:$W$4,0))))</f>
        <v>533.03534201062575</v>
      </c>
      <c r="L11" s="168">
        <f ca="1">IF($C11-L$1&lt;År1,0,K10*(1-VLOOKUP($A11,[1]Hugst!$R$5:$W$9,MATCH(ROUNDUP((L$1)/10,0)*10,[1]Hugst!$R$4:$W$4,0))))</f>
        <v>535.71391156846948</v>
      </c>
      <c r="M11" s="168">
        <f ca="1">IF($C11-M$1&lt;År1,0,L10*(1-VLOOKUP($A11,[1]Hugst!$R$5:$W$9,MATCH(ROUNDUP((M$1)/10,0)*10,[1]Hugst!$R$4:$W$4,0))))</f>
        <v>538.40594127484655</v>
      </c>
      <c r="N11" s="168">
        <f ca="1">IF($C11-N$1&lt;År1,0,M10*(1-VLOOKUP($A11,[1]Hugst!$R$5:$W$9,MATCH(ROUNDUP((N$1)/10,0)*10,[1]Hugst!$R$4:$W$4,0))))</f>
        <v>541.11149876867421</v>
      </c>
      <c r="O11" s="168">
        <f ca="1">IF($C11-O$1&lt;År1,0,N10*(1-VLOOKUP($A11,[1]Hugst!$R$5:$W$9,MATCH(ROUNDUP((O$1)/10,0)*10,[1]Hugst!$R$4:$W$4,0))))</f>
        <v>543.83065202883154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174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517.24284240244015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517.24284240244015</v>
      </c>
      <c r="G12" s="168">
        <f ca="1">IF($C12-G$1&lt;År1,0,F11*(1-VLOOKUP($A12,[1]Hugst!$R$5:$W$9,MATCH(ROUNDUP((G$1)/10,0)*10,[1]Hugst!$R$4:$W$4,0))))</f>
        <v>519.84205266574281</v>
      </c>
      <c r="H12" s="168">
        <f ca="1">IF($C12-H$1&lt;År1,0,G11*(1-VLOOKUP($A12,[1]Hugst!$R$5:$W$9,MATCH(ROUNDUP((H$1)/10,0)*10,[1]Hugst!$R$4:$W$4,0))))</f>
        <v>522.45432428720233</v>
      </c>
      <c r="I12" s="168">
        <f ca="1">IF($C12-I$1&lt;År1,0,H11*(1-VLOOKUP($A12,[1]Hugst!$R$5:$W$9,MATCH(ROUNDUP((I$1)/10,0)*10,[1]Hugst!$R$4:$W$4,0))))</f>
        <v>525.07972290170437</v>
      </c>
      <c r="J12" s="168">
        <f ca="1">IF($C12-J$1&lt;År1,0,I11*(1-VLOOKUP($A12,[1]Hugst!$R$5:$W$9,MATCH(ROUNDUP((J$1)/10,0)*10,[1]Hugst!$R$4:$W$4,0))))</f>
        <v>527.71831447407021</v>
      </c>
      <c r="K12" s="168">
        <f ca="1">IF($C12-K$1&lt;År1,0,J11*(1-VLOOKUP($A12,[1]Hugst!$R$5:$W$9,MATCH(ROUNDUP((K$1)/10,0)*10,[1]Hugst!$R$4:$W$4,0))))</f>
        <v>530.37016530057008</v>
      </c>
      <c r="L12" s="168">
        <f ca="1">IF($C12-L$1&lt;År1,0,K11*(1-VLOOKUP($A12,[1]Hugst!$R$5:$W$9,MATCH(ROUNDUP((L$1)/10,0)*10,[1]Hugst!$R$4:$W$4,0))))</f>
        <v>533.03534201062575</v>
      </c>
      <c r="M12" s="168">
        <f ca="1">IF($C12-M$1&lt;År1,0,L11*(1-VLOOKUP($A12,[1]Hugst!$R$5:$W$9,MATCH(ROUNDUP((M$1)/10,0)*10,[1]Hugst!$R$4:$W$4,0))))</f>
        <v>535.71391156846948</v>
      </c>
      <c r="N12" s="168">
        <f ca="1">IF($C12-N$1&lt;År1,0,M11*(1-VLOOKUP($A12,[1]Hugst!$R$5:$W$9,MATCH(ROUNDUP((N$1)/10,0)*10,[1]Hugst!$R$4:$W$4,0))))</f>
        <v>538.40594127484655</v>
      </c>
      <c r="O12" s="168">
        <f ca="1">IF($C12-O$1&lt;År1,0,N11*(1-VLOOKUP($A12,[1]Hugst!$R$5:$W$9,MATCH(ROUNDUP((O$1)/10,0)*10,[1]Hugst!$R$4:$W$4,0))))</f>
        <v>541.11149876867421</v>
      </c>
      <c r="P12" s="168">
        <f ca="1">IF($C12-P$1&lt;År1,0,O11*(1-VLOOKUP($A12,[1]Hugst!$R$5:$W$9,MATCH(ROUNDUP((P$1)/10,0)*10,[1]Hugst!$R$4:$W$4,0))))</f>
        <v>543.83065202883154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174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514.65662819039426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514.65662819039426</v>
      </c>
      <c r="G13" s="168">
        <f ca="1">IF($C13-G$1&lt;År1,0,F12*(1-VLOOKUP($A13,[1]Hugst!$R$5:$W$9,MATCH(ROUNDUP((G$1)/10,0)*10,[1]Hugst!$R$4:$W$4,0))))</f>
        <v>517.24284240244015</v>
      </c>
      <c r="H13" s="168">
        <f ca="1">IF($C13-H$1&lt;År1,0,G12*(1-VLOOKUP($A13,[1]Hugst!$R$5:$W$9,MATCH(ROUNDUP((H$1)/10,0)*10,[1]Hugst!$R$4:$W$4,0))))</f>
        <v>519.84205266574281</v>
      </c>
      <c r="I13" s="168">
        <f ca="1">IF($C13-I$1&lt;År1,0,H12*(1-VLOOKUP($A13,[1]Hugst!$R$5:$W$9,MATCH(ROUNDUP((I$1)/10,0)*10,[1]Hugst!$R$4:$W$4,0))))</f>
        <v>522.45432428720233</v>
      </c>
      <c r="J13" s="168">
        <f ca="1">IF($C13-J$1&lt;År1,0,I12*(1-VLOOKUP($A13,[1]Hugst!$R$5:$W$9,MATCH(ROUNDUP((J$1)/10,0)*10,[1]Hugst!$R$4:$W$4,0))))</f>
        <v>525.07972290170437</v>
      </c>
      <c r="K13" s="168">
        <f ca="1">IF($C13-K$1&lt;År1,0,J12*(1-VLOOKUP($A13,[1]Hugst!$R$5:$W$9,MATCH(ROUNDUP((K$1)/10,0)*10,[1]Hugst!$R$4:$W$4,0))))</f>
        <v>527.71831447407021</v>
      </c>
      <c r="L13" s="168">
        <f ca="1">IF($C13-L$1&lt;År1,0,K12*(1-VLOOKUP($A13,[1]Hugst!$R$5:$W$9,MATCH(ROUNDUP((L$1)/10,0)*10,[1]Hugst!$R$4:$W$4,0))))</f>
        <v>530.37016530057008</v>
      </c>
      <c r="M13" s="168">
        <f ca="1">IF($C13-M$1&lt;År1,0,L12*(1-VLOOKUP($A13,[1]Hugst!$R$5:$W$9,MATCH(ROUNDUP((M$1)/10,0)*10,[1]Hugst!$R$4:$W$4,0))))</f>
        <v>533.03534201062575</v>
      </c>
      <c r="N13" s="168">
        <f ca="1">IF($C13-N$1&lt;År1,0,M12*(1-VLOOKUP($A13,[1]Hugst!$R$5:$W$9,MATCH(ROUNDUP((N$1)/10,0)*10,[1]Hugst!$R$4:$W$4,0))))</f>
        <v>535.71391156846948</v>
      </c>
      <c r="O13" s="168">
        <f ca="1">IF($C13-O$1&lt;År1,0,N12*(1-VLOOKUP($A13,[1]Hugst!$R$5:$W$9,MATCH(ROUNDUP((O$1)/10,0)*10,[1]Hugst!$R$4:$W$4,0))))</f>
        <v>538.40594127484655</v>
      </c>
      <c r="P13" s="168">
        <f ca="1">IF($C13-P$1&lt;År1,0,O12*(1-VLOOKUP($A13,[1]Hugst!$R$5:$W$9,MATCH(ROUNDUP((P$1)/10,0)*10,[1]Hugst!$R$4:$W$4,0))))</f>
        <v>541.11149876867421</v>
      </c>
      <c r="Q13" s="168">
        <f ca="1">IF($C13-Q$1&lt;År1,0,P12*(1-VLOOKUP($A13,[1]Hugst!$R$5:$W$9,MATCH(ROUNDUP((Q$1)/10,0)*10,[1]Hugst!$R$4:$W$4,0))))</f>
        <v>543.83065202883154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174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512.08334504946833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512.08334504946833</v>
      </c>
      <c r="G14" s="168">
        <f ca="1">IF($C14-G$1&lt;År1,0,F13*(1-VLOOKUP($A14,[1]Hugst!$R$5:$W$9,MATCH(ROUNDUP((G$1)/10,0)*10,[1]Hugst!$R$4:$W$4,0))))</f>
        <v>514.65662819039426</v>
      </c>
      <c r="H14" s="168">
        <f ca="1">IF($C14-H$1&lt;År1,0,G13*(1-VLOOKUP($A14,[1]Hugst!$R$5:$W$9,MATCH(ROUNDUP((H$1)/10,0)*10,[1]Hugst!$R$4:$W$4,0))))</f>
        <v>517.24284240244015</v>
      </c>
      <c r="I14" s="168">
        <f ca="1">IF($C14-I$1&lt;År1,0,H13*(1-VLOOKUP($A14,[1]Hugst!$R$5:$W$9,MATCH(ROUNDUP((I$1)/10,0)*10,[1]Hugst!$R$4:$W$4,0))))</f>
        <v>519.84205266574281</v>
      </c>
      <c r="J14" s="168">
        <f ca="1">IF($C14-J$1&lt;År1,0,I13*(1-VLOOKUP($A14,[1]Hugst!$R$5:$W$9,MATCH(ROUNDUP((J$1)/10,0)*10,[1]Hugst!$R$4:$W$4,0))))</f>
        <v>522.45432428720233</v>
      </c>
      <c r="K14" s="168">
        <f ca="1">IF($C14-K$1&lt;År1,0,J13*(1-VLOOKUP($A14,[1]Hugst!$R$5:$W$9,MATCH(ROUNDUP((K$1)/10,0)*10,[1]Hugst!$R$4:$W$4,0))))</f>
        <v>525.07972290170437</v>
      </c>
      <c r="L14" s="168">
        <f ca="1">IF($C14-L$1&lt;År1,0,K13*(1-VLOOKUP($A14,[1]Hugst!$R$5:$W$9,MATCH(ROUNDUP((L$1)/10,0)*10,[1]Hugst!$R$4:$W$4,0))))</f>
        <v>527.71831447407021</v>
      </c>
      <c r="M14" s="168">
        <f ca="1">IF($C14-M$1&lt;År1,0,L13*(1-VLOOKUP($A14,[1]Hugst!$R$5:$W$9,MATCH(ROUNDUP((M$1)/10,0)*10,[1]Hugst!$R$4:$W$4,0))))</f>
        <v>530.37016530057008</v>
      </c>
      <c r="N14" s="168">
        <f ca="1">IF($C14-N$1&lt;År1,0,M13*(1-VLOOKUP($A14,[1]Hugst!$R$5:$W$9,MATCH(ROUNDUP((N$1)/10,0)*10,[1]Hugst!$R$4:$W$4,0))))</f>
        <v>533.03534201062575</v>
      </c>
      <c r="O14" s="168">
        <f ca="1">IF($C14-O$1&lt;År1,0,N13*(1-VLOOKUP($A14,[1]Hugst!$R$5:$W$9,MATCH(ROUNDUP((O$1)/10,0)*10,[1]Hugst!$R$4:$W$4,0))))</f>
        <v>535.71391156846948</v>
      </c>
      <c r="P14" s="168">
        <f ca="1">IF($C14-P$1&lt;År1,0,O13*(1-VLOOKUP($A14,[1]Hugst!$R$5:$W$9,MATCH(ROUNDUP((P$1)/10,0)*10,[1]Hugst!$R$4:$W$4,0))))</f>
        <v>538.40594127484655</v>
      </c>
      <c r="Q14" s="168">
        <f ca="1">IF($C14-Q$1&lt;År1,0,P13*(1-VLOOKUP($A14,[1]Hugst!$R$5:$W$9,MATCH(ROUNDUP((Q$1)/10,0)*10,[1]Hugst!$R$4:$W$4,0))))</f>
        <v>541.11149876867421</v>
      </c>
      <c r="R14" s="168">
        <f ca="1">IF($C14-R$1&lt;År1,0,Q13*(1-VLOOKUP($A14,[1]Hugst!$R$5:$W$9,MATCH(ROUNDUP((R$1)/10,0)*10,[1]Hugst!$R$4:$W$4,0))))</f>
        <v>543.83065202883154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174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509.5229283242079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509.5229283242079</v>
      </c>
      <c r="G15" s="168">
        <f ca="1">IF($C15-G$1&lt;År1,0,F14*(1-VLOOKUP($A15,[1]Hugst!$R$5:$W$9,MATCH(ROUNDUP((G$1)/10,0)*10,[1]Hugst!$R$4:$W$4,0))))</f>
        <v>512.08334504946833</v>
      </c>
      <c r="H15" s="168">
        <f ca="1">IF($C15-H$1&lt;År1,0,G14*(1-VLOOKUP($A15,[1]Hugst!$R$5:$W$9,MATCH(ROUNDUP((H$1)/10,0)*10,[1]Hugst!$R$4:$W$4,0))))</f>
        <v>514.65662819039426</v>
      </c>
      <c r="I15" s="168">
        <f ca="1">IF($C15-I$1&lt;År1,0,H14*(1-VLOOKUP($A15,[1]Hugst!$R$5:$W$9,MATCH(ROUNDUP((I$1)/10,0)*10,[1]Hugst!$R$4:$W$4,0))))</f>
        <v>517.24284240244015</v>
      </c>
      <c r="J15" s="168">
        <f ca="1">IF($C15-J$1&lt;År1,0,I14*(1-VLOOKUP($A15,[1]Hugst!$R$5:$W$9,MATCH(ROUNDUP((J$1)/10,0)*10,[1]Hugst!$R$4:$W$4,0))))</f>
        <v>519.84205266574281</v>
      </c>
      <c r="K15" s="168">
        <f ca="1">IF($C15-K$1&lt;År1,0,J14*(1-VLOOKUP($A15,[1]Hugst!$R$5:$W$9,MATCH(ROUNDUP((K$1)/10,0)*10,[1]Hugst!$R$4:$W$4,0))))</f>
        <v>522.45432428720233</v>
      </c>
      <c r="L15" s="168">
        <f ca="1">IF($C15-L$1&lt;År1,0,K14*(1-VLOOKUP($A15,[1]Hugst!$R$5:$W$9,MATCH(ROUNDUP((L$1)/10,0)*10,[1]Hugst!$R$4:$W$4,0))))</f>
        <v>525.07972290170437</v>
      </c>
      <c r="M15" s="168">
        <f ca="1">IF($C15-M$1&lt;År1,0,L14*(1-VLOOKUP($A15,[1]Hugst!$R$5:$W$9,MATCH(ROUNDUP((M$1)/10,0)*10,[1]Hugst!$R$4:$W$4,0))))</f>
        <v>527.71831447407021</v>
      </c>
      <c r="N15" s="168">
        <f ca="1">IF($C15-N$1&lt;År1,0,M14*(1-VLOOKUP($A15,[1]Hugst!$R$5:$W$9,MATCH(ROUNDUP((N$1)/10,0)*10,[1]Hugst!$R$4:$W$4,0))))</f>
        <v>530.37016530057008</v>
      </c>
      <c r="O15" s="168">
        <f ca="1">IF($C15-O$1&lt;År1,0,N14*(1-VLOOKUP($A15,[1]Hugst!$R$5:$W$9,MATCH(ROUNDUP((O$1)/10,0)*10,[1]Hugst!$R$4:$W$4,0))))</f>
        <v>533.03534201062575</v>
      </c>
      <c r="P15" s="168">
        <f ca="1">IF($C15-P$1&lt;År1,0,O14*(1-VLOOKUP($A15,[1]Hugst!$R$5:$W$9,MATCH(ROUNDUP((P$1)/10,0)*10,[1]Hugst!$R$4:$W$4,0))))</f>
        <v>535.71391156846948</v>
      </c>
      <c r="Q15" s="168">
        <f ca="1">IF($C15-Q$1&lt;År1,0,P14*(1-VLOOKUP($A15,[1]Hugst!$R$5:$W$9,MATCH(ROUNDUP((Q$1)/10,0)*10,[1]Hugst!$R$4:$W$4,0))))</f>
        <v>538.40594127484655</v>
      </c>
      <c r="R15" s="168">
        <f ca="1">IF($C15-R$1&lt;År1,0,Q14*(1-VLOOKUP($A15,[1]Hugst!$R$5:$W$9,MATCH(ROUNDUP((R$1)/10,0)*10,[1]Hugst!$R$4:$W$4,0))))</f>
        <v>541.11149876867421</v>
      </c>
      <c r="S15" s="168">
        <f ca="1">IF($C15-S$1&lt;År1,0,R14*(1-VLOOKUP($A15,[1]Hugst!$R$5:$W$9,MATCH(ROUNDUP((S$1)/10,0)*10,[1]Hugst!$R$4:$W$4,0))))</f>
        <v>543.83065202883154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174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506.97531368258933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506.97531368258933</v>
      </c>
      <c r="G16" s="168">
        <f ca="1">IF($C16-G$1&lt;År1,0,F15*(1-VLOOKUP($A16,[1]Hugst!$R$5:$W$9,MATCH(ROUNDUP((G$1)/10,0)*10,[1]Hugst!$R$4:$W$4,0))))</f>
        <v>509.5229283242079</v>
      </c>
      <c r="H16" s="168">
        <f ca="1">IF($C16-H$1&lt;År1,0,G15*(1-VLOOKUP($A16,[1]Hugst!$R$5:$W$9,MATCH(ROUNDUP((H$1)/10,0)*10,[1]Hugst!$R$4:$W$4,0))))</f>
        <v>512.08334504946833</v>
      </c>
      <c r="I16" s="168">
        <f ca="1">IF($C16-I$1&lt;År1,0,H15*(1-VLOOKUP($A16,[1]Hugst!$R$5:$W$9,MATCH(ROUNDUP((I$1)/10,0)*10,[1]Hugst!$R$4:$W$4,0))))</f>
        <v>514.65662819039426</v>
      </c>
      <c r="J16" s="168">
        <f ca="1">IF($C16-J$1&lt;År1,0,I15*(1-VLOOKUP($A16,[1]Hugst!$R$5:$W$9,MATCH(ROUNDUP((J$1)/10,0)*10,[1]Hugst!$R$4:$W$4,0))))</f>
        <v>517.24284240244015</v>
      </c>
      <c r="K16" s="168">
        <f ca="1">IF($C16-K$1&lt;År1,0,J15*(1-VLOOKUP($A16,[1]Hugst!$R$5:$W$9,MATCH(ROUNDUP((K$1)/10,0)*10,[1]Hugst!$R$4:$W$4,0))))</f>
        <v>519.84205266574281</v>
      </c>
      <c r="L16" s="168">
        <f ca="1">IF($C16-L$1&lt;År1,0,K15*(1-VLOOKUP($A16,[1]Hugst!$R$5:$W$9,MATCH(ROUNDUP((L$1)/10,0)*10,[1]Hugst!$R$4:$W$4,0))))</f>
        <v>522.45432428720233</v>
      </c>
      <c r="M16" s="168">
        <f ca="1">IF($C16-M$1&lt;År1,0,L15*(1-VLOOKUP($A16,[1]Hugst!$R$5:$W$9,MATCH(ROUNDUP((M$1)/10,0)*10,[1]Hugst!$R$4:$W$4,0))))</f>
        <v>525.07972290170437</v>
      </c>
      <c r="N16" s="168">
        <f ca="1">IF($C16-N$1&lt;År1,0,M15*(1-VLOOKUP($A16,[1]Hugst!$R$5:$W$9,MATCH(ROUNDUP((N$1)/10,0)*10,[1]Hugst!$R$4:$W$4,0))))</f>
        <v>527.71831447407021</v>
      </c>
      <c r="O16" s="168">
        <f ca="1">IF($C16-O$1&lt;År1,0,N15*(1-VLOOKUP($A16,[1]Hugst!$R$5:$W$9,MATCH(ROUNDUP((O$1)/10,0)*10,[1]Hugst!$R$4:$W$4,0))))</f>
        <v>530.37016530057008</v>
      </c>
      <c r="P16" s="168">
        <f ca="1">IF($C16-P$1&lt;År1,0,O15*(1-VLOOKUP($A16,[1]Hugst!$R$5:$W$9,MATCH(ROUNDUP((P$1)/10,0)*10,[1]Hugst!$R$4:$W$4,0))))</f>
        <v>533.03534201062575</v>
      </c>
      <c r="Q16" s="168">
        <f ca="1">IF($C16-Q$1&lt;År1,0,P15*(1-VLOOKUP($A16,[1]Hugst!$R$5:$W$9,MATCH(ROUNDUP((Q$1)/10,0)*10,[1]Hugst!$R$4:$W$4,0))))</f>
        <v>535.71391156846948</v>
      </c>
      <c r="R16" s="168">
        <f ca="1">IF($C16-R$1&lt;År1,0,Q15*(1-VLOOKUP($A16,[1]Hugst!$R$5:$W$9,MATCH(ROUNDUP((R$1)/10,0)*10,[1]Hugst!$R$4:$W$4,0))))</f>
        <v>538.40594127484655</v>
      </c>
      <c r="S16" s="168">
        <f ca="1">IF($C16-S$1&lt;År1,0,R15*(1-VLOOKUP($A16,[1]Hugst!$R$5:$W$9,MATCH(ROUNDUP((S$1)/10,0)*10,[1]Hugst!$R$4:$W$4,0))))</f>
        <v>541.11149876867421</v>
      </c>
      <c r="T16" s="168">
        <f ca="1">IF($C16-T$1&lt;År1,0,S15*(1-VLOOKUP($A16,[1]Hugst!$R$5:$W$9,MATCH(ROUNDUP((T$1)/10,0)*10,[1]Hugst!$R$4:$W$4,0))))</f>
        <v>543.83065202883154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174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504.44043711418635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504.44043711418635</v>
      </c>
      <c r="G17" s="168">
        <f ca="1">IF($C17-G$1&lt;År1,0,F16*(1-VLOOKUP($A17,[1]Hugst!$R$5:$W$9,MATCH(ROUNDUP((G$1)/10,0)*10,[1]Hugst!$R$4:$W$4,0))))</f>
        <v>506.97531368258933</v>
      </c>
      <c r="H17" s="168">
        <f ca="1">IF($C17-H$1&lt;År1,0,G16*(1-VLOOKUP($A17,[1]Hugst!$R$5:$W$9,MATCH(ROUNDUP((H$1)/10,0)*10,[1]Hugst!$R$4:$W$4,0))))</f>
        <v>509.5229283242079</v>
      </c>
      <c r="I17" s="168">
        <f ca="1">IF($C17-I$1&lt;År1,0,H16*(1-VLOOKUP($A17,[1]Hugst!$R$5:$W$9,MATCH(ROUNDUP((I$1)/10,0)*10,[1]Hugst!$R$4:$W$4,0))))</f>
        <v>512.08334504946833</v>
      </c>
      <c r="J17" s="168">
        <f ca="1">IF($C17-J$1&lt;År1,0,I16*(1-VLOOKUP($A17,[1]Hugst!$R$5:$W$9,MATCH(ROUNDUP((J$1)/10,0)*10,[1]Hugst!$R$4:$W$4,0))))</f>
        <v>514.65662819039426</v>
      </c>
      <c r="K17" s="168">
        <f ca="1">IF($C17-K$1&lt;År1,0,J16*(1-VLOOKUP($A17,[1]Hugst!$R$5:$W$9,MATCH(ROUNDUP((K$1)/10,0)*10,[1]Hugst!$R$4:$W$4,0))))</f>
        <v>517.24284240244015</v>
      </c>
      <c r="L17" s="168">
        <f ca="1">IF($C17-L$1&lt;År1,0,K16*(1-VLOOKUP($A17,[1]Hugst!$R$5:$W$9,MATCH(ROUNDUP((L$1)/10,0)*10,[1]Hugst!$R$4:$W$4,0))))</f>
        <v>519.84205266574281</v>
      </c>
      <c r="M17" s="168">
        <f ca="1">IF($C17-M$1&lt;År1,0,L16*(1-VLOOKUP($A17,[1]Hugst!$R$5:$W$9,MATCH(ROUNDUP((M$1)/10,0)*10,[1]Hugst!$R$4:$W$4,0))))</f>
        <v>522.45432428720233</v>
      </c>
      <c r="N17" s="168">
        <f ca="1">IF($C17-N$1&lt;År1,0,M16*(1-VLOOKUP($A17,[1]Hugst!$R$5:$W$9,MATCH(ROUNDUP((N$1)/10,0)*10,[1]Hugst!$R$4:$W$4,0))))</f>
        <v>525.07972290170437</v>
      </c>
      <c r="O17" s="168">
        <f ca="1">IF($C17-O$1&lt;År1,0,N16*(1-VLOOKUP($A17,[1]Hugst!$R$5:$W$9,MATCH(ROUNDUP((O$1)/10,0)*10,[1]Hugst!$R$4:$W$4,0))))</f>
        <v>527.71831447407021</v>
      </c>
      <c r="P17" s="168">
        <f ca="1">IF($C17-P$1&lt;År1,0,O16*(1-VLOOKUP($A17,[1]Hugst!$R$5:$W$9,MATCH(ROUNDUP((P$1)/10,0)*10,[1]Hugst!$R$4:$W$4,0))))</f>
        <v>530.37016530057008</v>
      </c>
      <c r="Q17" s="168">
        <f ca="1">IF($C17-Q$1&lt;År1,0,P16*(1-VLOOKUP($A17,[1]Hugst!$R$5:$W$9,MATCH(ROUNDUP((Q$1)/10,0)*10,[1]Hugst!$R$4:$W$4,0))))</f>
        <v>533.03534201062575</v>
      </c>
      <c r="R17" s="168">
        <f ca="1">IF($C17-R$1&lt;År1,0,Q16*(1-VLOOKUP($A17,[1]Hugst!$R$5:$W$9,MATCH(ROUNDUP((R$1)/10,0)*10,[1]Hugst!$R$4:$W$4,0))))</f>
        <v>535.71391156846948</v>
      </c>
      <c r="S17" s="168">
        <f ca="1">IF($C17-S$1&lt;År1,0,R16*(1-VLOOKUP($A17,[1]Hugst!$R$5:$W$9,MATCH(ROUNDUP((S$1)/10,0)*10,[1]Hugst!$R$4:$W$4,0))))</f>
        <v>538.40594127484655</v>
      </c>
      <c r="T17" s="168">
        <f ca="1">IF($C17-T$1&lt;År1,0,S16*(1-VLOOKUP($A17,[1]Hugst!$R$5:$W$9,MATCH(ROUNDUP((T$1)/10,0)*10,[1]Hugst!$R$4:$W$4,0))))</f>
        <v>541.11149876867421</v>
      </c>
      <c r="U17" s="168">
        <f ca="1">IF($C17-U$1&lt;År1,0,T16*(1-VLOOKUP($A17,[1]Hugst!$R$5:$W$9,MATCH(ROUNDUP((U$1)/10,0)*10,[1]Hugst!$R$4:$W$4,0))))</f>
        <v>543.83065202883154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174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501.91823492861295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501.91823492861295</v>
      </c>
      <c r="G18" s="168">
        <f ca="1">IF($C18-G$1&lt;År1,0,F17*(1-VLOOKUP($A18,[1]Hugst!$R$5:$W$9,MATCH(ROUNDUP((G$1)/10,0)*10,[1]Hugst!$R$4:$W$4,0))))</f>
        <v>504.44043711418635</v>
      </c>
      <c r="H18" s="168">
        <f ca="1">IF($C18-H$1&lt;År1,0,G17*(1-VLOOKUP($A18,[1]Hugst!$R$5:$W$9,MATCH(ROUNDUP((H$1)/10,0)*10,[1]Hugst!$R$4:$W$4,0))))</f>
        <v>506.97531368258933</v>
      </c>
      <c r="I18" s="168">
        <f ca="1">IF($C18-I$1&lt;År1,0,H17*(1-VLOOKUP($A18,[1]Hugst!$R$5:$W$9,MATCH(ROUNDUP((I$1)/10,0)*10,[1]Hugst!$R$4:$W$4,0))))</f>
        <v>509.5229283242079</v>
      </c>
      <c r="J18" s="168">
        <f ca="1">IF($C18-J$1&lt;År1,0,I17*(1-VLOOKUP($A18,[1]Hugst!$R$5:$W$9,MATCH(ROUNDUP((J$1)/10,0)*10,[1]Hugst!$R$4:$W$4,0))))</f>
        <v>512.08334504946833</v>
      </c>
      <c r="K18" s="168">
        <f ca="1">IF($C18-K$1&lt;År1,0,J17*(1-VLOOKUP($A18,[1]Hugst!$R$5:$W$9,MATCH(ROUNDUP((K$1)/10,0)*10,[1]Hugst!$R$4:$W$4,0))))</f>
        <v>514.65662819039426</v>
      </c>
      <c r="L18" s="168">
        <f ca="1">IF($C18-L$1&lt;År1,0,K17*(1-VLOOKUP($A18,[1]Hugst!$R$5:$W$9,MATCH(ROUNDUP((L$1)/10,0)*10,[1]Hugst!$R$4:$W$4,0))))</f>
        <v>517.24284240244015</v>
      </c>
      <c r="M18" s="168">
        <f ca="1">IF($C18-M$1&lt;År1,0,L17*(1-VLOOKUP($A18,[1]Hugst!$R$5:$W$9,MATCH(ROUNDUP((M$1)/10,0)*10,[1]Hugst!$R$4:$W$4,0))))</f>
        <v>519.84205266574281</v>
      </c>
      <c r="N18" s="168">
        <f ca="1">IF($C18-N$1&lt;År1,0,M17*(1-VLOOKUP($A18,[1]Hugst!$R$5:$W$9,MATCH(ROUNDUP((N$1)/10,0)*10,[1]Hugst!$R$4:$W$4,0))))</f>
        <v>522.45432428720233</v>
      </c>
      <c r="O18" s="168">
        <f ca="1">IF($C18-O$1&lt;År1,0,N17*(1-VLOOKUP($A18,[1]Hugst!$R$5:$W$9,MATCH(ROUNDUP((O$1)/10,0)*10,[1]Hugst!$R$4:$W$4,0))))</f>
        <v>525.07972290170437</v>
      </c>
      <c r="P18" s="168">
        <f ca="1">IF($C18-P$1&lt;År1,0,O17*(1-VLOOKUP($A18,[1]Hugst!$R$5:$W$9,MATCH(ROUNDUP((P$1)/10,0)*10,[1]Hugst!$R$4:$W$4,0))))</f>
        <v>527.71831447407021</v>
      </c>
      <c r="Q18" s="168">
        <f ca="1">IF($C18-Q$1&lt;År1,0,P17*(1-VLOOKUP($A18,[1]Hugst!$R$5:$W$9,MATCH(ROUNDUP((Q$1)/10,0)*10,[1]Hugst!$R$4:$W$4,0))))</f>
        <v>530.37016530057008</v>
      </c>
      <c r="R18" s="168">
        <f ca="1">IF($C18-R$1&lt;År1,0,Q17*(1-VLOOKUP($A18,[1]Hugst!$R$5:$W$9,MATCH(ROUNDUP((R$1)/10,0)*10,[1]Hugst!$R$4:$W$4,0))))</f>
        <v>533.03534201062575</v>
      </c>
      <c r="S18" s="168">
        <f ca="1">IF($C18-S$1&lt;År1,0,R17*(1-VLOOKUP($A18,[1]Hugst!$R$5:$W$9,MATCH(ROUNDUP((S$1)/10,0)*10,[1]Hugst!$R$4:$W$4,0))))</f>
        <v>535.71391156846948</v>
      </c>
      <c r="T18" s="168">
        <f ca="1">IF($C18-T$1&lt;År1,0,S17*(1-VLOOKUP($A18,[1]Hugst!$R$5:$W$9,MATCH(ROUNDUP((T$1)/10,0)*10,[1]Hugst!$R$4:$W$4,0))))</f>
        <v>538.40594127484655</v>
      </c>
      <c r="U18" s="168">
        <f ca="1">IF($C18-U$1&lt;År1,0,T17*(1-VLOOKUP($A18,[1]Hugst!$R$5:$W$9,MATCH(ROUNDUP((U$1)/10,0)*10,[1]Hugst!$R$4:$W$4,0))))</f>
        <v>541.11149876867421</v>
      </c>
      <c r="V18" s="168">
        <f ca="1">IF($C18-V$1&lt;År1,0,U17*(1-VLOOKUP($A18,[1]Hugst!$R$5:$W$9,MATCH(ROUNDUP((V$1)/10,0)*10,[1]Hugst!$R$4:$W$4,0))))</f>
        <v>543.83065202883154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174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499.40864375396632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499.40864375396632</v>
      </c>
      <c r="G19" s="168">
        <f ca="1">IF($C19-G$1&lt;År1,0,F18*(1-VLOOKUP($A19,[1]Hugst!$R$5:$W$9,MATCH(ROUNDUP((G$1)/10,0)*10,[1]Hugst!$R$4:$W$4,0))))</f>
        <v>501.91823492861295</v>
      </c>
      <c r="H19" s="168">
        <f ca="1">IF($C19-H$1&lt;År1,0,G18*(1-VLOOKUP($A19,[1]Hugst!$R$5:$W$9,MATCH(ROUNDUP((H$1)/10,0)*10,[1]Hugst!$R$4:$W$4,0))))</f>
        <v>504.44043711418635</v>
      </c>
      <c r="I19" s="168">
        <f ca="1">IF($C19-I$1&lt;År1,0,H18*(1-VLOOKUP($A19,[1]Hugst!$R$5:$W$9,MATCH(ROUNDUP((I$1)/10,0)*10,[1]Hugst!$R$4:$W$4,0))))</f>
        <v>506.97531368258933</v>
      </c>
      <c r="J19" s="168">
        <f ca="1">IF($C19-J$1&lt;År1,0,I18*(1-VLOOKUP($A19,[1]Hugst!$R$5:$W$9,MATCH(ROUNDUP((J$1)/10,0)*10,[1]Hugst!$R$4:$W$4,0))))</f>
        <v>509.5229283242079</v>
      </c>
      <c r="K19" s="168">
        <f ca="1">IF($C19-K$1&lt;År1,0,J18*(1-VLOOKUP($A19,[1]Hugst!$R$5:$W$9,MATCH(ROUNDUP((K$1)/10,0)*10,[1]Hugst!$R$4:$W$4,0))))</f>
        <v>512.08334504946833</v>
      </c>
      <c r="L19" s="168">
        <f ca="1">IF($C19-L$1&lt;År1,0,K18*(1-VLOOKUP($A19,[1]Hugst!$R$5:$W$9,MATCH(ROUNDUP((L$1)/10,0)*10,[1]Hugst!$R$4:$W$4,0))))</f>
        <v>514.65662819039426</v>
      </c>
      <c r="M19" s="168">
        <f ca="1">IF($C19-M$1&lt;År1,0,L18*(1-VLOOKUP($A19,[1]Hugst!$R$5:$W$9,MATCH(ROUNDUP((M$1)/10,0)*10,[1]Hugst!$R$4:$W$4,0))))</f>
        <v>517.24284240244015</v>
      </c>
      <c r="N19" s="168">
        <f ca="1">IF($C19-N$1&lt;År1,0,M18*(1-VLOOKUP($A19,[1]Hugst!$R$5:$W$9,MATCH(ROUNDUP((N$1)/10,0)*10,[1]Hugst!$R$4:$W$4,0))))</f>
        <v>519.84205266574281</v>
      </c>
      <c r="O19" s="168">
        <f ca="1">IF($C19-O$1&lt;År1,0,N18*(1-VLOOKUP($A19,[1]Hugst!$R$5:$W$9,MATCH(ROUNDUP((O$1)/10,0)*10,[1]Hugst!$R$4:$W$4,0))))</f>
        <v>522.45432428720233</v>
      </c>
      <c r="P19" s="168">
        <f ca="1">IF($C19-P$1&lt;År1,0,O18*(1-VLOOKUP($A19,[1]Hugst!$R$5:$W$9,MATCH(ROUNDUP((P$1)/10,0)*10,[1]Hugst!$R$4:$W$4,0))))</f>
        <v>525.07972290170437</v>
      </c>
      <c r="Q19" s="168">
        <f ca="1">IF($C19-Q$1&lt;År1,0,P18*(1-VLOOKUP($A19,[1]Hugst!$R$5:$W$9,MATCH(ROUNDUP((Q$1)/10,0)*10,[1]Hugst!$R$4:$W$4,0))))</f>
        <v>527.71831447407021</v>
      </c>
      <c r="R19" s="168">
        <f ca="1">IF($C19-R$1&lt;År1,0,Q18*(1-VLOOKUP($A19,[1]Hugst!$R$5:$W$9,MATCH(ROUNDUP((R$1)/10,0)*10,[1]Hugst!$R$4:$W$4,0))))</f>
        <v>530.37016530057008</v>
      </c>
      <c r="S19" s="168">
        <f ca="1">IF($C19-S$1&lt;År1,0,R18*(1-VLOOKUP($A19,[1]Hugst!$R$5:$W$9,MATCH(ROUNDUP((S$1)/10,0)*10,[1]Hugst!$R$4:$W$4,0))))</f>
        <v>533.03534201062575</v>
      </c>
      <c r="T19" s="168">
        <f ca="1">IF($C19-T$1&lt;År1,0,S18*(1-VLOOKUP($A19,[1]Hugst!$R$5:$W$9,MATCH(ROUNDUP((T$1)/10,0)*10,[1]Hugst!$R$4:$W$4,0))))</f>
        <v>535.71391156846948</v>
      </c>
      <c r="U19" s="168">
        <f ca="1">IF($C19-U$1&lt;År1,0,T18*(1-VLOOKUP($A19,[1]Hugst!$R$5:$W$9,MATCH(ROUNDUP((U$1)/10,0)*10,[1]Hugst!$R$4:$W$4,0))))</f>
        <v>538.40594127484655</v>
      </c>
      <c r="V19" s="168">
        <f ca="1">IF($C19-V$1&lt;År1,0,U18*(1-VLOOKUP($A19,[1]Hugst!$R$5:$W$9,MATCH(ROUNDUP((V$1)/10,0)*10,[1]Hugst!$R$4:$W$4,0))))</f>
        <v>541.11149876867421</v>
      </c>
      <c r="W19" s="168">
        <f ca="1">IF($C19-W$1&lt;År1,0,V18*(1-VLOOKUP($A19,[1]Hugst!$R$5:$W$9,MATCH(ROUNDUP((W$1)/10,0)*10,[1]Hugst!$R$4:$W$4,0))))</f>
        <v>543.83065202883154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174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496.91160053521162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496.91160053521162</v>
      </c>
      <c r="G20" s="168">
        <f ca="1">IF($C20-G$1&lt;År1,0,F19*(1-VLOOKUP($A20,[1]Hugst!$R$5:$W$9,MATCH(ROUNDUP((G$1)/10,0)*10,[1]Hugst!$R$4:$W$4,0))))</f>
        <v>499.40864375396632</v>
      </c>
      <c r="H20" s="168">
        <f ca="1">IF($C20-H$1&lt;År1,0,G19*(1-VLOOKUP($A20,[1]Hugst!$R$5:$W$9,MATCH(ROUNDUP((H$1)/10,0)*10,[1]Hugst!$R$4:$W$4,0))))</f>
        <v>501.91823492861295</v>
      </c>
      <c r="I20" s="168">
        <f ca="1">IF($C20-I$1&lt;År1,0,H19*(1-VLOOKUP($A20,[1]Hugst!$R$5:$W$9,MATCH(ROUNDUP((I$1)/10,0)*10,[1]Hugst!$R$4:$W$4,0))))</f>
        <v>504.44043711418635</v>
      </c>
      <c r="J20" s="168">
        <f ca="1">IF($C20-J$1&lt;År1,0,I19*(1-VLOOKUP($A20,[1]Hugst!$R$5:$W$9,MATCH(ROUNDUP((J$1)/10,0)*10,[1]Hugst!$R$4:$W$4,0))))</f>
        <v>506.97531368258933</v>
      </c>
      <c r="K20" s="168">
        <f ca="1">IF($C20-K$1&lt;År1,0,J19*(1-VLOOKUP($A20,[1]Hugst!$R$5:$W$9,MATCH(ROUNDUP((K$1)/10,0)*10,[1]Hugst!$R$4:$W$4,0))))</f>
        <v>509.5229283242079</v>
      </c>
      <c r="L20" s="168">
        <f ca="1">IF($C20-L$1&lt;År1,0,K19*(1-VLOOKUP($A20,[1]Hugst!$R$5:$W$9,MATCH(ROUNDUP((L$1)/10,0)*10,[1]Hugst!$R$4:$W$4,0))))</f>
        <v>512.08334504946833</v>
      </c>
      <c r="M20" s="168">
        <f ca="1">IF($C20-M$1&lt;År1,0,L19*(1-VLOOKUP($A20,[1]Hugst!$R$5:$W$9,MATCH(ROUNDUP((M$1)/10,0)*10,[1]Hugst!$R$4:$W$4,0))))</f>
        <v>514.65662819039426</v>
      </c>
      <c r="N20" s="168">
        <f ca="1">IF($C20-N$1&lt;År1,0,M19*(1-VLOOKUP($A20,[1]Hugst!$R$5:$W$9,MATCH(ROUNDUP((N$1)/10,0)*10,[1]Hugst!$R$4:$W$4,0))))</f>
        <v>517.24284240244015</v>
      </c>
      <c r="O20" s="168">
        <f ca="1">IF($C20-O$1&lt;År1,0,N19*(1-VLOOKUP($A20,[1]Hugst!$R$5:$W$9,MATCH(ROUNDUP((O$1)/10,0)*10,[1]Hugst!$R$4:$W$4,0))))</f>
        <v>519.84205266574281</v>
      </c>
      <c r="P20" s="168">
        <f ca="1">IF($C20-P$1&lt;År1,0,O19*(1-VLOOKUP($A20,[1]Hugst!$R$5:$W$9,MATCH(ROUNDUP((P$1)/10,0)*10,[1]Hugst!$R$4:$W$4,0))))</f>
        <v>522.45432428720233</v>
      </c>
      <c r="Q20" s="168">
        <f ca="1">IF($C20-Q$1&lt;År1,0,P19*(1-VLOOKUP($A20,[1]Hugst!$R$5:$W$9,MATCH(ROUNDUP((Q$1)/10,0)*10,[1]Hugst!$R$4:$W$4,0))))</f>
        <v>525.07972290170437</v>
      </c>
      <c r="R20" s="168">
        <f ca="1">IF($C20-R$1&lt;År1,0,Q19*(1-VLOOKUP($A20,[1]Hugst!$R$5:$W$9,MATCH(ROUNDUP((R$1)/10,0)*10,[1]Hugst!$R$4:$W$4,0))))</f>
        <v>527.71831447407021</v>
      </c>
      <c r="S20" s="168">
        <f ca="1">IF($C20-S$1&lt;År1,0,R19*(1-VLOOKUP($A20,[1]Hugst!$R$5:$W$9,MATCH(ROUNDUP((S$1)/10,0)*10,[1]Hugst!$R$4:$W$4,0))))</f>
        <v>530.37016530057008</v>
      </c>
      <c r="T20" s="168">
        <f ca="1">IF($C20-T$1&lt;År1,0,S19*(1-VLOOKUP($A20,[1]Hugst!$R$5:$W$9,MATCH(ROUNDUP((T$1)/10,0)*10,[1]Hugst!$R$4:$W$4,0))))</f>
        <v>533.03534201062575</v>
      </c>
      <c r="U20" s="168">
        <f ca="1">IF($C20-U$1&lt;År1,0,T19*(1-VLOOKUP($A20,[1]Hugst!$R$5:$W$9,MATCH(ROUNDUP((U$1)/10,0)*10,[1]Hugst!$R$4:$W$4,0))))</f>
        <v>535.71391156846948</v>
      </c>
      <c r="V20" s="168">
        <f ca="1">IF($C20-V$1&lt;År1,0,U19*(1-VLOOKUP($A20,[1]Hugst!$R$5:$W$9,MATCH(ROUNDUP((V$1)/10,0)*10,[1]Hugst!$R$4:$W$4,0))))</f>
        <v>538.40594127484655</v>
      </c>
      <c r="W20" s="168">
        <f ca="1">IF($C20-W$1&lt;År1,0,V19*(1-VLOOKUP($A20,[1]Hugst!$R$5:$W$9,MATCH(ROUNDUP((W$1)/10,0)*10,[1]Hugst!$R$4:$W$4,0))))</f>
        <v>541.11149876867421</v>
      </c>
      <c r="X20" s="168">
        <f ca="1">IF($C20-X$1&lt;År1,0,W19*(1-VLOOKUP($A20,[1]Hugst!$R$5:$W$9,MATCH(ROUNDUP((X$1)/10,0)*10,[1]Hugst!$R$4:$W$4,0))))</f>
        <v>543.83065202883154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174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494.42704253250849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494.42704253250849</v>
      </c>
      <c r="G21" s="168">
        <f ca="1">IF($C21-G$1&lt;År1,0,F20*(1-VLOOKUP($A21,[1]Hugst!$R$5:$W$9,MATCH(ROUNDUP((G$1)/10,0)*10,[1]Hugst!$R$4:$W$4,0))))</f>
        <v>496.91160053521162</v>
      </c>
      <c r="H21" s="168">
        <f ca="1">IF($C21-H$1&lt;År1,0,G20*(1-VLOOKUP($A21,[1]Hugst!$R$5:$W$9,MATCH(ROUNDUP((H$1)/10,0)*10,[1]Hugst!$R$4:$W$4,0))))</f>
        <v>499.40864375396632</v>
      </c>
      <c r="I21" s="168">
        <f ca="1">IF($C21-I$1&lt;År1,0,H20*(1-VLOOKUP($A21,[1]Hugst!$R$5:$W$9,MATCH(ROUNDUP((I$1)/10,0)*10,[1]Hugst!$R$4:$W$4,0))))</f>
        <v>501.91823492861295</v>
      </c>
      <c r="J21" s="168">
        <f ca="1">IF($C21-J$1&lt;År1,0,I20*(1-VLOOKUP($A21,[1]Hugst!$R$5:$W$9,MATCH(ROUNDUP((J$1)/10,0)*10,[1]Hugst!$R$4:$W$4,0))))</f>
        <v>504.44043711418635</v>
      </c>
      <c r="K21" s="168">
        <f ca="1">IF($C21-K$1&lt;År1,0,J20*(1-VLOOKUP($A21,[1]Hugst!$R$5:$W$9,MATCH(ROUNDUP((K$1)/10,0)*10,[1]Hugst!$R$4:$W$4,0))))</f>
        <v>506.97531368258933</v>
      </c>
      <c r="L21" s="168">
        <f ca="1">IF($C21-L$1&lt;År1,0,K20*(1-VLOOKUP($A21,[1]Hugst!$R$5:$W$9,MATCH(ROUNDUP((L$1)/10,0)*10,[1]Hugst!$R$4:$W$4,0))))</f>
        <v>509.5229283242079</v>
      </c>
      <c r="M21" s="168">
        <f ca="1">IF($C21-M$1&lt;År1,0,L20*(1-VLOOKUP($A21,[1]Hugst!$R$5:$W$9,MATCH(ROUNDUP((M$1)/10,0)*10,[1]Hugst!$R$4:$W$4,0))))</f>
        <v>512.08334504946833</v>
      </c>
      <c r="N21" s="168">
        <f ca="1">IF($C21-N$1&lt;År1,0,M20*(1-VLOOKUP($A21,[1]Hugst!$R$5:$W$9,MATCH(ROUNDUP((N$1)/10,0)*10,[1]Hugst!$R$4:$W$4,0))))</f>
        <v>514.65662819039426</v>
      </c>
      <c r="O21" s="168">
        <f ca="1">IF($C21-O$1&lt;År1,0,N20*(1-VLOOKUP($A21,[1]Hugst!$R$5:$W$9,MATCH(ROUNDUP((O$1)/10,0)*10,[1]Hugst!$R$4:$W$4,0))))</f>
        <v>517.24284240244015</v>
      </c>
      <c r="P21" s="168">
        <f ca="1">IF($C21-P$1&lt;År1,0,O20*(1-VLOOKUP($A21,[1]Hugst!$R$5:$W$9,MATCH(ROUNDUP((P$1)/10,0)*10,[1]Hugst!$R$4:$W$4,0))))</f>
        <v>519.84205266574281</v>
      </c>
      <c r="Q21" s="168">
        <f ca="1">IF($C21-Q$1&lt;År1,0,P20*(1-VLOOKUP($A21,[1]Hugst!$R$5:$W$9,MATCH(ROUNDUP((Q$1)/10,0)*10,[1]Hugst!$R$4:$W$4,0))))</f>
        <v>522.45432428720233</v>
      </c>
      <c r="R21" s="168">
        <f ca="1">IF($C21-R$1&lt;År1,0,Q20*(1-VLOOKUP($A21,[1]Hugst!$R$5:$W$9,MATCH(ROUNDUP((R$1)/10,0)*10,[1]Hugst!$R$4:$W$4,0))))</f>
        <v>525.07972290170437</v>
      </c>
      <c r="S21" s="168">
        <f ca="1">IF($C21-S$1&lt;År1,0,R20*(1-VLOOKUP($A21,[1]Hugst!$R$5:$W$9,MATCH(ROUNDUP((S$1)/10,0)*10,[1]Hugst!$R$4:$W$4,0))))</f>
        <v>527.71831447407021</v>
      </c>
      <c r="T21" s="168">
        <f ca="1">IF($C21-T$1&lt;År1,0,S20*(1-VLOOKUP($A21,[1]Hugst!$R$5:$W$9,MATCH(ROUNDUP((T$1)/10,0)*10,[1]Hugst!$R$4:$W$4,0))))</f>
        <v>530.37016530057008</v>
      </c>
      <c r="U21" s="168">
        <f ca="1">IF($C21-U$1&lt;År1,0,T20*(1-VLOOKUP($A21,[1]Hugst!$R$5:$W$9,MATCH(ROUNDUP((U$1)/10,0)*10,[1]Hugst!$R$4:$W$4,0))))</f>
        <v>533.03534201062575</v>
      </c>
      <c r="V21" s="168">
        <f ca="1">IF($C21-V$1&lt;År1,0,U20*(1-VLOOKUP($A21,[1]Hugst!$R$5:$W$9,MATCH(ROUNDUP((V$1)/10,0)*10,[1]Hugst!$R$4:$W$4,0))))</f>
        <v>535.71391156846948</v>
      </c>
      <c r="W21" s="168">
        <f ca="1">IF($C21-W$1&lt;År1,0,V20*(1-VLOOKUP($A21,[1]Hugst!$R$5:$W$9,MATCH(ROUNDUP((W$1)/10,0)*10,[1]Hugst!$R$4:$W$4,0))))</f>
        <v>538.40594127484655</v>
      </c>
      <c r="X21" s="168">
        <f ca="1">IF($C21-X$1&lt;År1,0,W20*(1-VLOOKUP($A21,[1]Hugst!$R$5:$W$9,MATCH(ROUNDUP((X$1)/10,0)*10,[1]Hugst!$R$4:$W$4,0))))</f>
        <v>541.11149876867421</v>
      </c>
      <c r="Y21" s="168">
        <f ca="1">IF($C21-Y$1&lt;År1,0,X20*(1-VLOOKUP($A21,[1]Hugst!$R$5:$W$9,MATCH(ROUNDUP((Y$1)/10,0)*10,[1]Hugst!$R$4:$W$4,0))))</f>
        <v>543.83065202883154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174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491.95490731985774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491.95490731985774</v>
      </c>
      <c r="G22" s="168">
        <f ca="1">IF($C22-G$1&lt;År1,0,F21*(1-VLOOKUP($A22,[1]Hugst!$R$5:$W$9,MATCH(ROUNDUP((G$1)/10,0)*10,[1]Hugst!$R$4:$W$4,0))))</f>
        <v>494.42704253250849</v>
      </c>
      <c r="H22" s="168">
        <f ca="1">IF($C22-H$1&lt;År1,0,G21*(1-VLOOKUP($A22,[1]Hugst!$R$5:$W$9,MATCH(ROUNDUP((H$1)/10,0)*10,[1]Hugst!$R$4:$W$4,0))))</f>
        <v>496.91160053521162</v>
      </c>
      <c r="I22" s="168">
        <f ca="1">IF($C22-I$1&lt;År1,0,H21*(1-VLOOKUP($A22,[1]Hugst!$R$5:$W$9,MATCH(ROUNDUP((I$1)/10,0)*10,[1]Hugst!$R$4:$W$4,0))))</f>
        <v>499.40864375396632</v>
      </c>
      <c r="J22" s="168">
        <f ca="1">IF($C22-J$1&lt;År1,0,I21*(1-VLOOKUP($A22,[1]Hugst!$R$5:$W$9,MATCH(ROUNDUP((J$1)/10,0)*10,[1]Hugst!$R$4:$W$4,0))))</f>
        <v>501.91823492861295</v>
      </c>
      <c r="K22" s="168">
        <f ca="1">IF($C22-K$1&lt;År1,0,J21*(1-VLOOKUP($A22,[1]Hugst!$R$5:$W$9,MATCH(ROUNDUP((K$1)/10,0)*10,[1]Hugst!$R$4:$W$4,0))))</f>
        <v>504.44043711418635</v>
      </c>
      <c r="L22" s="168">
        <f ca="1">IF($C22-L$1&lt;År1,0,K21*(1-VLOOKUP($A22,[1]Hugst!$R$5:$W$9,MATCH(ROUNDUP((L$1)/10,0)*10,[1]Hugst!$R$4:$W$4,0))))</f>
        <v>506.97531368258933</v>
      </c>
      <c r="M22" s="168">
        <f ca="1">IF($C22-M$1&lt;År1,0,L21*(1-VLOOKUP($A22,[1]Hugst!$R$5:$W$9,MATCH(ROUNDUP((M$1)/10,0)*10,[1]Hugst!$R$4:$W$4,0))))</f>
        <v>509.5229283242079</v>
      </c>
      <c r="N22" s="168">
        <f ca="1">IF($C22-N$1&lt;År1,0,M21*(1-VLOOKUP($A22,[1]Hugst!$R$5:$W$9,MATCH(ROUNDUP((N$1)/10,0)*10,[1]Hugst!$R$4:$W$4,0))))</f>
        <v>512.08334504946833</v>
      </c>
      <c r="O22" s="168">
        <f ca="1">IF($C22-O$1&lt;År1,0,N21*(1-VLOOKUP($A22,[1]Hugst!$R$5:$W$9,MATCH(ROUNDUP((O$1)/10,0)*10,[1]Hugst!$R$4:$W$4,0))))</f>
        <v>514.65662819039426</v>
      </c>
      <c r="P22" s="168">
        <f ca="1">IF($C22-P$1&lt;År1,0,O21*(1-VLOOKUP($A22,[1]Hugst!$R$5:$W$9,MATCH(ROUNDUP((P$1)/10,0)*10,[1]Hugst!$R$4:$W$4,0))))</f>
        <v>517.24284240244015</v>
      </c>
      <c r="Q22" s="168">
        <f ca="1">IF($C22-Q$1&lt;År1,0,P21*(1-VLOOKUP($A22,[1]Hugst!$R$5:$W$9,MATCH(ROUNDUP((Q$1)/10,0)*10,[1]Hugst!$R$4:$W$4,0))))</f>
        <v>519.84205266574281</v>
      </c>
      <c r="R22" s="168">
        <f ca="1">IF($C22-R$1&lt;År1,0,Q21*(1-VLOOKUP($A22,[1]Hugst!$R$5:$W$9,MATCH(ROUNDUP((R$1)/10,0)*10,[1]Hugst!$R$4:$W$4,0))))</f>
        <v>522.45432428720233</v>
      </c>
      <c r="S22" s="168">
        <f ca="1">IF($C22-S$1&lt;År1,0,R21*(1-VLOOKUP($A22,[1]Hugst!$R$5:$W$9,MATCH(ROUNDUP((S$1)/10,0)*10,[1]Hugst!$R$4:$W$4,0))))</f>
        <v>525.07972290170437</v>
      </c>
      <c r="T22" s="168">
        <f ca="1">IF($C22-T$1&lt;År1,0,S21*(1-VLOOKUP($A22,[1]Hugst!$R$5:$W$9,MATCH(ROUNDUP((T$1)/10,0)*10,[1]Hugst!$R$4:$W$4,0))))</f>
        <v>527.71831447407021</v>
      </c>
      <c r="U22" s="168">
        <f ca="1">IF($C22-U$1&lt;År1,0,T21*(1-VLOOKUP($A22,[1]Hugst!$R$5:$W$9,MATCH(ROUNDUP((U$1)/10,0)*10,[1]Hugst!$R$4:$W$4,0))))</f>
        <v>530.37016530057008</v>
      </c>
      <c r="V22" s="168">
        <f ca="1">IF($C22-V$1&lt;År1,0,U21*(1-VLOOKUP($A22,[1]Hugst!$R$5:$W$9,MATCH(ROUNDUP((V$1)/10,0)*10,[1]Hugst!$R$4:$W$4,0))))</f>
        <v>533.03534201062575</v>
      </c>
      <c r="W22" s="168">
        <f ca="1">IF($C22-W$1&lt;År1,0,V21*(1-VLOOKUP($A22,[1]Hugst!$R$5:$W$9,MATCH(ROUNDUP((W$1)/10,0)*10,[1]Hugst!$R$4:$W$4,0))))</f>
        <v>535.71391156846948</v>
      </c>
      <c r="X22" s="168">
        <f ca="1">IF($C22-X$1&lt;År1,0,W21*(1-VLOOKUP($A22,[1]Hugst!$R$5:$W$9,MATCH(ROUNDUP((X$1)/10,0)*10,[1]Hugst!$R$4:$W$4,0))))</f>
        <v>538.40594127484655</v>
      </c>
      <c r="Y22" s="168">
        <f ca="1">IF($C22-Y$1&lt;År1,0,X21*(1-VLOOKUP($A22,[1]Hugst!$R$5:$W$9,MATCH(ROUNDUP((Y$1)/10,0)*10,[1]Hugst!$R$4:$W$4,0))))</f>
        <v>541.11149876867421</v>
      </c>
      <c r="Z22" s="168">
        <f ca="1">IF($C22-Z$1&lt;År1,0,Y21*(1-VLOOKUP($A22,[1]Hugst!$R$5:$W$9,MATCH(ROUNDUP((Z$1)/10,0)*10,[1]Hugst!$R$4:$W$4,0))))</f>
        <v>543.83065202883154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174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489.49513278326776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489.49513278326776</v>
      </c>
      <c r="G23" s="168">
        <f ca="1">IF($C23-G$1&lt;År1,0,F22*(1-VLOOKUP($A23,[1]Hugst!$R$5:$W$9,MATCH(ROUNDUP((G$1)/10,0)*10,[1]Hugst!$R$4:$W$4,0))))</f>
        <v>491.95490731985774</v>
      </c>
      <c r="H23" s="168">
        <f ca="1">IF($C23-H$1&lt;År1,0,G22*(1-VLOOKUP($A23,[1]Hugst!$R$5:$W$9,MATCH(ROUNDUP((H$1)/10,0)*10,[1]Hugst!$R$4:$W$4,0))))</f>
        <v>494.42704253250849</v>
      </c>
      <c r="I23" s="168">
        <f ca="1">IF($C23-I$1&lt;År1,0,H22*(1-VLOOKUP($A23,[1]Hugst!$R$5:$W$9,MATCH(ROUNDUP((I$1)/10,0)*10,[1]Hugst!$R$4:$W$4,0))))</f>
        <v>496.91160053521162</v>
      </c>
      <c r="J23" s="168">
        <f ca="1">IF($C23-J$1&lt;År1,0,I22*(1-VLOOKUP($A23,[1]Hugst!$R$5:$W$9,MATCH(ROUNDUP((J$1)/10,0)*10,[1]Hugst!$R$4:$W$4,0))))</f>
        <v>499.40864375396632</v>
      </c>
      <c r="K23" s="168">
        <f ca="1">IF($C23-K$1&lt;År1,0,J22*(1-VLOOKUP($A23,[1]Hugst!$R$5:$W$9,MATCH(ROUNDUP((K$1)/10,0)*10,[1]Hugst!$R$4:$W$4,0))))</f>
        <v>501.91823492861295</v>
      </c>
      <c r="L23" s="168">
        <f ca="1">IF($C23-L$1&lt;År1,0,K22*(1-VLOOKUP($A23,[1]Hugst!$R$5:$W$9,MATCH(ROUNDUP((L$1)/10,0)*10,[1]Hugst!$R$4:$W$4,0))))</f>
        <v>504.44043711418635</v>
      </c>
      <c r="M23" s="168">
        <f ca="1">IF($C23-M$1&lt;År1,0,L22*(1-VLOOKUP($A23,[1]Hugst!$R$5:$W$9,MATCH(ROUNDUP((M$1)/10,0)*10,[1]Hugst!$R$4:$W$4,0))))</f>
        <v>506.97531368258933</v>
      </c>
      <c r="N23" s="168">
        <f ca="1">IF($C23-N$1&lt;År1,0,M22*(1-VLOOKUP($A23,[1]Hugst!$R$5:$W$9,MATCH(ROUNDUP((N$1)/10,0)*10,[1]Hugst!$R$4:$W$4,0))))</f>
        <v>509.5229283242079</v>
      </c>
      <c r="O23" s="168">
        <f ca="1">IF($C23-O$1&lt;År1,0,N22*(1-VLOOKUP($A23,[1]Hugst!$R$5:$W$9,MATCH(ROUNDUP((O$1)/10,0)*10,[1]Hugst!$R$4:$W$4,0))))</f>
        <v>512.08334504946833</v>
      </c>
      <c r="P23" s="168">
        <f ca="1">IF($C23-P$1&lt;År1,0,O22*(1-VLOOKUP($A23,[1]Hugst!$R$5:$W$9,MATCH(ROUNDUP((P$1)/10,0)*10,[1]Hugst!$R$4:$W$4,0))))</f>
        <v>514.65662819039426</v>
      </c>
      <c r="Q23" s="168">
        <f ca="1">IF($C23-Q$1&lt;År1,0,P22*(1-VLOOKUP($A23,[1]Hugst!$R$5:$W$9,MATCH(ROUNDUP((Q$1)/10,0)*10,[1]Hugst!$R$4:$W$4,0))))</f>
        <v>517.24284240244015</v>
      </c>
      <c r="R23" s="168">
        <f ca="1">IF($C23-R$1&lt;År1,0,Q22*(1-VLOOKUP($A23,[1]Hugst!$R$5:$W$9,MATCH(ROUNDUP((R$1)/10,0)*10,[1]Hugst!$R$4:$W$4,0))))</f>
        <v>519.84205266574281</v>
      </c>
      <c r="S23" s="168">
        <f ca="1">IF($C23-S$1&lt;År1,0,R22*(1-VLOOKUP($A23,[1]Hugst!$R$5:$W$9,MATCH(ROUNDUP((S$1)/10,0)*10,[1]Hugst!$R$4:$W$4,0))))</f>
        <v>522.45432428720233</v>
      </c>
      <c r="T23" s="168">
        <f ca="1">IF($C23-T$1&lt;År1,0,S22*(1-VLOOKUP($A23,[1]Hugst!$R$5:$W$9,MATCH(ROUNDUP((T$1)/10,0)*10,[1]Hugst!$R$4:$W$4,0))))</f>
        <v>525.07972290170437</v>
      </c>
      <c r="U23" s="168">
        <f ca="1">IF($C23-U$1&lt;År1,0,T22*(1-VLOOKUP($A23,[1]Hugst!$R$5:$W$9,MATCH(ROUNDUP((U$1)/10,0)*10,[1]Hugst!$R$4:$W$4,0))))</f>
        <v>527.71831447407021</v>
      </c>
      <c r="V23" s="168">
        <f ca="1">IF($C23-V$1&lt;År1,0,U22*(1-VLOOKUP($A23,[1]Hugst!$R$5:$W$9,MATCH(ROUNDUP((V$1)/10,0)*10,[1]Hugst!$R$4:$W$4,0))))</f>
        <v>530.37016530057008</v>
      </c>
      <c r="W23" s="168">
        <f ca="1">IF($C23-W$1&lt;År1,0,V22*(1-VLOOKUP($A23,[1]Hugst!$R$5:$W$9,MATCH(ROUNDUP((W$1)/10,0)*10,[1]Hugst!$R$4:$W$4,0))))</f>
        <v>533.03534201062575</v>
      </c>
      <c r="X23" s="168">
        <f ca="1">IF($C23-X$1&lt;År1,0,W22*(1-VLOOKUP($A23,[1]Hugst!$R$5:$W$9,MATCH(ROUNDUP((X$1)/10,0)*10,[1]Hugst!$R$4:$W$4,0))))</f>
        <v>535.71391156846948</v>
      </c>
      <c r="Y23" s="168">
        <f ca="1">IF($C23-Y$1&lt;År1,0,X22*(1-VLOOKUP($A23,[1]Hugst!$R$5:$W$9,MATCH(ROUNDUP((Y$1)/10,0)*10,[1]Hugst!$R$4:$W$4,0))))</f>
        <v>538.40594127484655</v>
      </c>
      <c r="Z23" s="168">
        <f ca="1">IF($C23-Z$1&lt;År1,0,Y22*(1-VLOOKUP($A23,[1]Hugst!$R$5:$W$9,MATCH(ROUNDUP((Z$1)/10,0)*10,[1]Hugst!$R$4:$W$4,0))))</f>
        <v>541.11149876867421</v>
      </c>
      <c r="AA23" s="168">
        <f ca="1">IF($C23-AA$1&lt;År1,0,Z22*(1-VLOOKUP($A23,[1]Hugst!$R$5:$W$9,MATCH(ROUNDUP((AA$1)/10,0)*10,[1]Hugst!$R$4:$W$4,0))))</f>
        <v>543.83065202883154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174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487.04765711934306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487.04765711934306</v>
      </c>
      <c r="G24" s="168">
        <f ca="1">IF($C24-G$1&lt;År1,0,F23*(1-VLOOKUP($A24,[1]Hugst!$R$5:$W$9,MATCH(ROUNDUP((G$1)/10,0)*10,[1]Hugst!$R$4:$W$4,0))))</f>
        <v>489.49513278326776</v>
      </c>
      <c r="H24" s="168">
        <f ca="1">IF($C24-H$1&lt;År1,0,G23*(1-VLOOKUP($A24,[1]Hugst!$R$5:$W$9,MATCH(ROUNDUP((H$1)/10,0)*10,[1]Hugst!$R$4:$W$4,0))))</f>
        <v>491.95490731985774</v>
      </c>
      <c r="I24" s="168">
        <f ca="1">IF($C24-I$1&lt;År1,0,H23*(1-VLOOKUP($A24,[1]Hugst!$R$5:$W$9,MATCH(ROUNDUP((I$1)/10,0)*10,[1]Hugst!$R$4:$W$4,0))))</f>
        <v>494.42704253250849</v>
      </c>
      <c r="J24" s="168">
        <f ca="1">IF($C24-J$1&lt;År1,0,I23*(1-VLOOKUP($A24,[1]Hugst!$R$5:$W$9,MATCH(ROUNDUP((J$1)/10,0)*10,[1]Hugst!$R$4:$W$4,0))))</f>
        <v>496.91160053521162</v>
      </c>
      <c r="K24" s="168">
        <f ca="1">IF($C24-K$1&lt;År1,0,J23*(1-VLOOKUP($A24,[1]Hugst!$R$5:$W$9,MATCH(ROUNDUP((K$1)/10,0)*10,[1]Hugst!$R$4:$W$4,0))))</f>
        <v>499.40864375396632</v>
      </c>
      <c r="L24" s="168">
        <f ca="1">IF($C24-L$1&lt;År1,0,K23*(1-VLOOKUP($A24,[1]Hugst!$R$5:$W$9,MATCH(ROUNDUP((L$1)/10,0)*10,[1]Hugst!$R$4:$W$4,0))))</f>
        <v>501.91823492861295</v>
      </c>
      <c r="M24" s="168">
        <f ca="1">IF($C24-M$1&lt;År1,0,L23*(1-VLOOKUP($A24,[1]Hugst!$R$5:$W$9,MATCH(ROUNDUP((M$1)/10,0)*10,[1]Hugst!$R$4:$W$4,0))))</f>
        <v>504.44043711418635</v>
      </c>
      <c r="N24" s="168">
        <f ca="1">IF($C24-N$1&lt;År1,0,M23*(1-VLOOKUP($A24,[1]Hugst!$R$5:$W$9,MATCH(ROUNDUP((N$1)/10,0)*10,[1]Hugst!$R$4:$W$4,0))))</f>
        <v>506.97531368258933</v>
      </c>
      <c r="O24" s="168">
        <f ca="1">IF($C24-O$1&lt;År1,0,N23*(1-VLOOKUP($A24,[1]Hugst!$R$5:$W$9,MATCH(ROUNDUP((O$1)/10,0)*10,[1]Hugst!$R$4:$W$4,0))))</f>
        <v>509.5229283242079</v>
      </c>
      <c r="P24" s="168">
        <f ca="1">IF($C24-P$1&lt;År1,0,O23*(1-VLOOKUP($A24,[1]Hugst!$R$5:$W$9,MATCH(ROUNDUP((P$1)/10,0)*10,[1]Hugst!$R$4:$W$4,0))))</f>
        <v>512.08334504946833</v>
      </c>
      <c r="Q24" s="168">
        <f ca="1">IF($C24-Q$1&lt;År1,0,P23*(1-VLOOKUP($A24,[1]Hugst!$R$5:$W$9,MATCH(ROUNDUP((Q$1)/10,0)*10,[1]Hugst!$R$4:$W$4,0))))</f>
        <v>514.65662819039426</v>
      </c>
      <c r="R24" s="168">
        <f ca="1">IF($C24-R$1&lt;År1,0,Q23*(1-VLOOKUP($A24,[1]Hugst!$R$5:$W$9,MATCH(ROUNDUP((R$1)/10,0)*10,[1]Hugst!$R$4:$W$4,0))))</f>
        <v>517.24284240244015</v>
      </c>
      <c r="S24" s="168">
        <f ca="1">IF($C24-S$1&lt;År1,0,R23*(1-VLOOKUP($A24,[1]Hugst!$R$5:$W$9,MATCH(ROUNDUP((S$1)/10,0)*10,[1]Hugst!$R$4:$W$4,0))))</f>
        <v>519.84205266574281</v>
      </c>
      <c r="T24" s="168">
        <f ca="1">IF($C24-T$1&lt;År1,0,S23*(1-VLOOKUP($A24,[1]Hugst!$R$5:$W$9,MATCH(ROUNDUP((T$1)/10,0)*10,[1]Hugst!$R$4:$W$4,0))))</f>
        <v>522.45432428720233</v>
      </c>
      <c r="U24" s="168">
        <f ca="1">IF($C24-U$1&lt;År1,0,T23*(1-VLOOKUP($A24,[1]Hugst!$R$5:$W$9,MATCH(ROUNDUP((U$1)/10,0)*10,[1]Hugst!$R$4:$W$4,0))))</f>
        <v>525.07972290170437</v>
      </c>
      <c r="V24" s="168">
        <f ca="1">IF($C24-V$1&lt;År1,0,U23*(1-VLOOKUP($A24,[1]Hugst!$R$5:$W$9,MATCH(ROUNDUP((V$1)/10,0)*10,[1]Hugst!$R$4:$W$4,0))))</f>
        <v>527.71831447407021</v>
      </c>
      <c r="W24" s="168">
        <f ca="1">IF($C24-W$1&lt;År1,0,V23*(1-VLOOKUP($A24,[1]Hugst!$R$5:$W$9,MATCH(ROUNDUP((W$1)/10,0)*10,[1]Hugst!$R$4:$W$4,0))))</f>
        <v>530.37016530057008</v>
      </c>
      <c r="X24" s="168">
        <f ca="1">IF($C24-X$1&lt;År1,0,W23*(1-VLOOKUP($A24,[1]Hugst!$R$5:$W$9,MATCH(ROUNDUP((X$1)/10,0)*10,[1]Hugst!$R$4:$W$4,0))))</f>
        <v>533.03534201062575</v>
      </c>
      <c r="Y24" s="168">
        <f ca="1">IF($C24-Y$1&lt;År1,0,X23*(1-VLOOKUP($A24,[1]Hugst!$R$5:$W$9,MATCH(ROUNDUP((Y$1)/10,0)*10,[1]Hugst!$R$4:$W$4,0))))</f>
        <v>535.71391156846948</v>
      </c>
      <c r="Z24" s="168">
        <f ca="1">IF($C24-Z$1&lt;År1,0,Y23*(1-VLOOKUP($A24,[1]Hugst!$R$5:$W$9,MATCH(ROUNDUP((Z$1)/10,0)*10,[1]Hugst!$R$4:$W$4,0))))</f>
        <v>538.40594127484655</v>
      </c>
      <c r="AA24" s="168">
        <f ca="1">IF($C24-AA$1&lt;År1,0,Z23*(1-VLOOKUP($A24,[1]Hugst!$R$5:$W$9,MATCH(ROUNDUP((AA$1)/10,0)*10,[1]Hugst!$R$4:$W$4,0))))</f>
        <v>541.11149876867421</v>
      </c>
      <c r="AB24" s="168">
        <f ca="1">IF($C24-AB$1&lt;År1,0,AA23*(1-VLOOKUP($A24,[1]Hugst!$R$5:$W$9,MATCH(ROUNDUP((AB$1)/10,0)*10,[1]Hugst!$R$4:$W$4,0))))</f>
        <v>543.83065202883154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174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484.61241883374169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484.61241883374169</v>
      </c>
      <c r="G25" s="168">
        <f ca="1">IF($C25-G$1&lt;År1,0,F24*(1-VLOOKUP($A25,[1]Hugst!$R$5:$W$9,MATCH(ROUNDUP((G$1)/10,0)*10,[1]Hugst!$R$4:$W$4,0))))</f>
        <v>487.04765711934306</v>
      </c>
      <c r="H25" s="168">
        <f ca="1">IF($C25-H$1&lt;År1,0,G24*(1-VLOOKUP($A25,[1]Hugst!$R$5:$W$9,MATCH(ROUNDUP((H$1)/10,0)*10,[1]Hugst!$R$4:$W$4,0))))</f>
        <v>489.49513278326776</v>
      </c>
      <c r="I25" s="168">
        <f ca="1">IF($C25-I$1&lt;År1,0,H24*(1-VLOOKUP($A25,[1]Hugst!$R$5:$W$9,MATCH(ROUNDUP((I$1)/10,0)*10,[1]Hugst!$R$4:$W$4,0))))</f>
        <v>491.95490731985774</v>
      </c>
      <c r="J25" s="168">
        <f ca="1">IF($C25-J$1&lt;År1,0,I24*(1-VLOOKUP($A25,[1]Hugst!$R$5:$W$9,MATCH(ROUNDUP((J$1)/10,0)*10,[1]Hugst!$R$4:$W$4,0))))</f>
        <v>494.42704253250849</v>
      </c>
      <c r="K25" s="168">
        <f ca="1">IF($C25-K$1&lt;År1,0,J24*(1-VLOOKUP($A25,[1]Hugst!$R$5:$W$9,MATCH(ROUNDUP((K$1)/10,0)*10,[1]Hugst!$R$4:$W$4,0))))</f>
        <v>496.91160053521162</v>
      </c>
      <c r="L25" s="168">
        <f ca="1">IF($C25-L$1&lt;År1,0,K24*(1-VLOOKUP($A25,[1]Hugst!$R$5:$W$9,MATCH(ROUNDUP((L$1)/10,0)*10,[1]Hugst!$R$4:$W$4,0))))</f>
        <v>499.40864375396632</v>
      </c>
      <c r="M25" s="168">
        <f ca="1">IF($C25-M$1&lt;År1,0,L24*(1-VLOOKUP($A25,[1]Hugst!$R$5:$W$9,MATCH(ROUNDUP((M$1)/10,0)*10,[1]Hugst!$R$4:$W$4,0))))</f>
        <v>501.91823492861295</v>
      </c>
      <c r="N25" s="168">
        <f ca="1">IF($C25-N$1&lt;År1,0,M24*(1-VLOOKUP($A25,[1]Hugst!$R$5:$W$9,MATCH(ROUNDUP((N$1)/10,0)*10,[1]Hugst!$R$4:$W$4,0))))</f>
        <v>504.44043711418635</v>
      </c>
      <c r="O25" s="168">
        <f ca="1">IF($C25-O$1&lt;År1,0,N24*(1-VLOOKUP($A25,[1]Hugst!$R$5:$W$9,MATCH(ROUNDUP((O$1)/10,0)*10,[1]Hugst!$R$4:$W$4,0))))</f>
        <v>506.97531368258933</v>
      </c>
      <c r="P25" s="168">
        <f ca="1">IF($C25-P$1&lt;År1,0,O24*(1-VLOOKUP($A25,[1]Hugst!$R$5:$W$9,MATCH(ROUNDUP((P$1)/10,0)*10,[1]Hugst!$R$4:$W$4,0))))</f>
        <v>509.5229283242079</v>
      </c>
      <c r="Q25" s="168">
        <f ca="1">IF($C25-Q$1&lt;År1,0,P24*(1-VLOOKUP($A25,[1]Hugst!$R$5:$W$9,MATCH(ROUNDUP((Q$1)/10,0)*10,[1]Hugst!$R$4:$W$4,0))))</f>
        <v>512.08334504946833</v>
      </c>
      <c r="R25" s="168">
        <f ca="1">IF($C25-R$1&lt;År1,0,Q24*(1-VLOOKUP($A25,[1]Hugst!$R$5:$W$9,MATCH(ROUNDUP((R$1)/10,0)*10,[1]Hugst!$R$4:$W$4,0))))</f>
        <v>514.65662819039426</v>
      </c>
      <c r="S25" s="168">
        <f ca="1">IF($C25-S$1&lt;År1,0,R24*(1-VLOOKUP($A25,[1]Hugst!$R$5:$W$9,MATCH(ROUNDUP((S$1)/10,0)*10,[1]Hugst!$R$4:$W$4,0))))</f>
        <v>517.24284240244015</v>
      </c>
      <c r="T25" s="168">
        <f ca="1">IF($C25-T$1&lt;År1,0,S24*(1-VLOOKUP($A25,[1]Hugst!$R$5:$W$9,MATCH(ROUNDUP((T$1)/10,0)*10,[1]Hugst!$R$4:$W$4,0))))</f>
        <v>519.84205266574281</v>
      </c>
      <c r="U25" s="168">
        <f ca="1">IF($C25-U$1&lt;År1,0,T24*(1-VLOOKUP($A25,[1]Hugst!$R$5:$W$9,MATCH(ROUNDUP((U$1)/10,0)*10,[1]Hugst!$R$4:$W$4,0))))</f>
        <v>522.45432428720233</v>
      </c>
      <c r="V25" s="168">
        <f ca="1">IF($C25-V$1&lt;År1,0,U24*(1-VLOOKUP($A25,[1]Hugst!$R$5:$W$9,MATCH(ROUNDUP((V$1)/10,0)*10,[1]Hugst!$R$4:$W$4,0))))</f>
        <v>525.07972290170437</v>
      </c>
      <c r="W25" s="168">
        <f ca="1">IF($C25-W$1&lt;År1,0,V24*(1-VLOOKUP($A25,[1]Hugst!$R$5:$W$9,MATCH(ROUNDUP((W$1)/10,0)*10,[1]Hugst!$R$4:$W$4,0))))</f>
        <v>527.71831447407021</v>
      </c>
      <c r="X25" s="168">
        <f ca="1">IF($C25-X$1&lt;År1,0,W24*(1-VLOOKUP($A25,[1]Hugst!$R$5:$W$9,MATCH(ROUNDUP((X$1)/10,0)*10,[1]Hugst!$R$4:$W$4,0))))</f>
        <v>530.37016530057008</v>
      </c>
      <c r="Y25" s="168">
        <f ca="1">IF($C25-Y$1&lt;År1,0,X24*(1-VLOOKUP($A25,[1]Hugst!$R$5:$W$9,MATCH(ROUNDUP((Y$1)/10,0)*10,[1]Hugst!$R$4:$W$4,0))))</f>
        <v>533.03534201062575</v>
      </c>
      <c r="Z25" s="168">
        <f ca="1">IF($C25-Z$1&lt;År1,0,Y24*(1-VLOOKUP($A25,[1]Hugst!$R$5:$W$9,MATCH(ROUNDUP((Z$1)/10,0)*10,[1]Hugst!$R$4:$W$4,0))))</f>
        <v>535.71391156846948</v>
      </c>
      <c r="AA25" s="168">
        <f ca="1">IF($C25-AA$1&lt;År1,0,Z24*(1-VLOOKUP($A25,[1]Hugst!$R$5:$W$9,MATCH(ROUNDUP((AA$1)/10,0)*10,[1]Hugst!$R$4:$W$4,0))))</f>
        <v>538.40594127484655</v>
      </c>
      <c r="AB25" s="168">
        <f ca="1">IF($C25-AB$1&lt;År1,0,AA24*(1-VLOOKUP($A25,[1]Hugst!$R$5:$W$9,MATCH(ROUNDUP((AB$1)/10,0)*10,[1]Hugst!$R$4:$W$4,0))))</f>
        <v>541.11149876867421</v>
      </c>
      <c r="AC25" s="168">
        <f ca="1">IF($C25-AC$1&lt;År1,0,AB24*(1-VLOOKUP($A25,[1]Hugst!$R$5:$W$9,MATCH(ROUNDUP((AC$1)/10,0)*10,[1]Hugst!$R$4:$W$4,0))))</f>
        <v>543.83065202883154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174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482.18935673957458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482.18935673957458</v>
      </c>
      <c r="G26" s="168">
        <f ca="1">IF($C26-G$1&lt;År1,0,F25*(1-VLOOKUP($A26,[1]Hugst!$R$5:$W$9,MATCH(ROUNDUP((G$1)/10,0)*10,[1]Hugst!$R$4:$W$4,0))))</f>
        <v>484.61241883374169</v>
      </c>
      <c r="H26" s="168">
        <f ca="1">IF($C26-H$1&lt;År1,0,G25*(1-VLOOKUP($A26,[1]Hugst!$R$5:$W$9,MATCH(ROUNDUP((H$1)/10,0)*10,[1]Hugst!$R$4:$W$4,0))))</f>
        <v>487.04765711934306</v>
      </c>
      <c r="I26" s="168">
        <f ca="1">IF($C26-I$1&lt;År1,0,H25*(1-VLOOKUP($A26,[1]Hugst!$R$5:$W$9,MATCH(ROUNDUP((I$1)/10,0)*10,[1]Hugst!$R$4:$W$4,0))))</f>
        <v>489.49513278326776</v>
      </c>
      <c r="J26" s="168">
        <f ca="1">IF($C26-J$1&lt;År1,0,I25*(1-VLOOKUP($A26,[1]Hugst!$R$5:$W$9,MATCH(ROUNDUP((J$1)/10,0)*10,[1]Hugst!$R$4:$W$4,0))))</f>
        <v>491.95490731985774</v>
      </c>
      <c r="K26" s="168">
        <f ca="1">IF($C26-K$1&lt;År1,0,J25*(1-VLOOKUP($A26,[1]Hugst!$R$5:$W$9,MATCH(ROUNDUP((K$1)/10,0)*10,[1]Hugst!$R$4:$W$4,0))))</f>
        <v>494.42704253250849</v>
      </c>
      <c r="L26" s="168">
        <f ca="1">IF($C26-L$1&lt;År1,0,K25*(1-VLOOKUP($A26,[1]Hugst!$R$5:$W$9,MATCH(ROUNDUP((L$1)/10,0)*10,[1]Hugst!$R$4:$W$4,0))))</f>
        <v>496.91160053521162</v>
      </c>
      <c r="M26" s="168">
        <f ca="1">IF($C26-M$1&lt;År1,0,L25*(1-VLOOKUP($A26,[1]Hugst!$R$5:$W$9,MATCH(ROUNDUP((M$1)/10,0)*10,[1]Hugst!$R$4:$W$4,0))))</f>
        <v>499.40864375396632</v>
      </c>
      <c r="N26" s="168">
        <f ca="1">IF($C26-N$1&lt;År1,0,M25*(1-VLOOKUP($A26,[1]Hugst!$R$5:$W$9,MATCH(ROUNDUP((N$1)/10,0)*10,[1]Hugst!$R$4:$W$4,0))))</f>
        <v>501.91823492861295</v>
      </c>
      <c r="O26" s="168">
        <f ca="1">IF($C26-O$1&lt;År1,0,N25*(1-VLOOKUP($A26,[1]Hugst!$R$5:$W$9,MATCH(ROUNDUP((O$1)/10,0)*10,[1]Hugst!$R$4:$W$4,0))))</f>
        <v>504.44043711418635</v>
      </c>
      <c r="P26" s="168">
        <f ca="1">IF($C26-P$1&lt;År1,0,O25*(1-VLOOKUP($A26,[1]Hugst!$R$5:$W$9,MATCH(ROUNDUP((P$1)/10,0)*10,[1]Hugst!$R$4:$W$4,0))))</f>
        <v>506.97531368258933</v>
      </c>
      <c r="Q26" s="168">
        <f ca="1">IF($C26-Q$1&lt;År1,0,P25*(1-VLOOKUP($A26,[1]Hugst!$R$5:$W$9,MATCH(ROUNDUP((Q$1)/10,0)*10,[1]Hugst!$R$4:$W$4,0))))</f>
        <v>509.5229283242079</v>
      </c>
      <c r="R26" s="168">
        <f ca="1">IF($C26-R$1&lt;År1,0,Q25*(1-VLOOKUP($A26,[1]Hugst!$R$5:$W$9,MATCH(ROUNDUP((R$1)/10,0)*10,[1]Hugst!$R$4:$W$4,0))))</f>
        <v>512.08334504946833</v>
      </c>
      <c r="S26" s="168">
        <f ca="1">IF($C26-S$1&lt;År1,0,R25*(1-VLOOKUP($A26,[1]Hugst!$R$5:$W$9,MATCH(ROUNDUP((S$1)/10,0)*10,[1]Hugst!$R$4:$W$4,0))))</f>
        <v>514.65662819039426</v>
      </c>
      <c r="T26" s="168">
        <f ca="1">IF($C26-T$1&lt;År1,0,S25*(1-VLOOKUP($A26,[1]Hugst!$R$5:$W$9,MATCH(ROUNDUP((T$1)/10,0)*10,[1]Hugst!$R$4:$W$4,0))))</f>
        <v>517.24284240244015</v>
      </c>
      <c r="U26" s="168">
        <f ca="1">IF($C26-U$1&lt;År1,0,T25*(1-VLOOKUP($A26,[1]Hugst!$R$5:$W$9,MATCH(ROUNDUP((U$1)/10,0)*10,[1]Hugst!$R$4:$W$4,0))))</f>
        <v>519.84205266574281</v>
      </c>
      <c r="V26" s="168">
        <f ca="1">IF($C26-V$1&lt;År1,0,U25*(1-VLOOKUP($A26,[1]Hugst!$R$5:$W$9,MATCH(ROUNDUP((V$1)/10,0)*10,[1]Hugst!$R$4:$W$4,0))))</f>
        <v>522.45432428720233</v>
      </c>
      <c r="W26" s="168">
        <f ca="1">IF($C26-W$1&lt;År1,0,V25*(1-VLOOKUP($A26,[1]Hugst!$R$5:$W$9,MATCH(ROUNDUP((W$1)/10,0)*10,[1]Hugst!$R$4:$W$4,0))))</f>
        <v>525.07972290170437</v>
      </c>
      <c r="X26" s="168">
        <f ca="1">IF($C26-X$1&lt;År1,0,W25*(1-VLOOKUP($A26,[1]Hugst!$R$5:$W$9,MATCH(ROUNDUP((X$1)/10,0)*10,[1]Hugst!$R$4:$W$4,0))))</f>
        <v>527.71831447407021</v>
      </c>
      <c r="Y26" s="168">
        <f ca="1">IF($C26-Y$1&lt;År1,0,X25*(1-VLOOKUP($A26,[1]Hugst!$R$5:$W$9,MATCH(ROUNDUP((Y$1)/10,0)*10,[1]Hugst!$R$4:$W$4,0))))</f>
        <v>530.37016530057008</v>
      </c>
      <c r="Z26" s="168">
        <f ca="1">IF($C26-Z$1&lt;År1,0,Y25*(1-VLOOKUP($A26,[1]Hugst!$R$5:$W$9,MATCH(ROUNDUP((Z$1)/10,0)*10,[1]Hugst!$R$4:$W$4,0))))</f>
        <v>533.03534201062575</v>
      </c>
      <c r="AA26" s="168">
        <f ca="1">IF($C26-AA$1&lt;År1,0,Z25*(1-VLOOKUP($A26,[1]Hugst!$R$5:$W$9,MATCH(ROUNDUP((AA$1)/10,0)*10,[1]Hugst!$R$4:$W$4,0))))</f>
        <v>535.71391156846948</v>
      </c>
      <c r="AB26" s="168">
        <f ca="1">IF($C26-AB$1&lt;År1,0,AA25*(1-VLOOKUP($A26,[1]Hugst!$R$5:$W$9,MATCH(ROUNDUP((AB$1)/10,0)*10,[1]Hugst!$R$4:$W$4,0))))</f>
        <v>538.40594127484655</v>
      </c>
      <c r="AC26" s="168">
        <f ca="1">IF($C26-AC$1&lt;År1,0,AB25*(1-VLOOKUP($A26,[1]Hugst!$R$5:$W$9,MATCH(ROUNDUP((AC$1)/10,0)*10,[1]Hugst!$R$4:$W$4,0))))</f>
        <v>541.11149876867421</v>
      </c>
      <c r="AD26" s="168">
        <f ca="1">IF($C26-AD$1&lt;År1,0,AC25*(1-VLOOKUP($A26,[1]Hugst!$R$5:$W$9,MATCH(ROUNDUP((AD$1)/10,0)*10,[1]Hugst!$R$4:$W$4,0))))</f>
        <v>543.83065202883154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174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479.77840995587758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479.77840995587758</v>
      </c>
      <c r="G27" s="168">
        <f ca="1">IF($C27-G$1&lt;År1,0,F26*(1-VLOOKUP($A27,[1]Hugst!$R$5:$W$9,MATCH(ROUNDUP((G$1)/10,0)*10,[1]Hugst!$R$4:$W$4,0))))</f>
        <v>482.18935673957458</v>
      </c>
      <c r="H27" s="168">
        <f ca="1">IF($C27-H$1&lt;År1,0,G26*(1-VLOOKUP($A27,[1]Hugst!$R$5:$W$9,MATCH(ROUNDUP((H$1)/10,0)*10,[1]Hugst!$R$4:$W$4,0))))</f>
        <v>484.61241883374169</v>
      </c>
      <c r="I27" s="168">
        <f ca="1">IF($C27-I$1&lt;År1,0,H26*(1-VLOOKUP($A27,[1]Hugst!$R$5:$W$9,MATCH(ROUNDUP((I$1)/10,0)*10,[1]Hugst!$R$4:$W$4,0))))</f>
        <v>487.04765711934306</v>
      </c>
      <c r="J27" s="168">
        <f ca="1">IF($C27-J$1&lt;År1,0,I26*(1-VLOOKUP($A27,[1]Hugst!$R$5:$W$9,MATCH(ROUNDUP((J$1)/10,0)*10,[1]Hugst!$R$4:$W$4,0))))</f>
        <v>489.49513278326776</v>
      </c>
      <c r="K27" s="168">
        <f ca="1">IF($C27-K$1&lt;År1,0,J26*(1-VLOOKUP($A27,[1]Hugst!$R$5:$W$9,MATCH(ROUNDUP((K$1)/10,0)*10,[1]Hugst!$R$4:$W$4,0))))</f>
        <v>491.95490731985774</v>
      </c>
      <c r="L27" s="168">
        <f ca="1">IF($C27-L$1&lt;År1,0,K26*(1-VLOOKUP($A27,[1]Hugst!$R$5:$W$9,MATCH(ROUNDUP((L$1)/10,0)*10,[1]Hugst!$R$4:$W$4,0))))</f>
        <v>494.42704253250849</v>
      </c>
      <c r="M27" s="168">
        <f ca="1">IF($C27-M$1&lt;År1,0,L26*(1-VLOOKUP($A27,[1]Hugst!$R$5:$W$9,MATCH(ROUNDUP((M$1)/10,0)*10,[1]Hugst!$R$4:$W$4,0))))</f>
        <v>496.91160053521162</v>
      </c>
      <c r="N27" s="168">
        <f ca="1">IF($C27-N$1&lt;År1,0,M26*(1-VLOOKUP($A27,[1]Hugst!$R$5:$W$9,MATCH(ROUNDUP((N$1)/10,0)*10,[1]Hugst!$R$4:$W$4,0))))</f>
        <v>499.40864375396632</v>
      </c>
      <c r="O27" s="168">
        <f ca="1">IF($C27-O$1&lt;År1,0,N26*(1-VLOOKUP($A27,[1]Hugst!$R$5:$W$9,MATCH(ROUNDUP((O$1)/10,0)*10,[1]Hugst!$R$4:$W$4,0))))</f>
        <v>501.91823492861295</v>
      </c>
      <c r="P27" s="168">
        <f ca="1">IF($C27-P$1&lt;År1,0,O26*(1-VLOOKUP($A27,[1]Hugst!$R$5:$W$9,MATCH(ROUNDUP((P$1)/10,0)*10,[1]Hugst!$R$4:$W$4,0))))</f>
        <v>504.44043711418635</v>
      </c>
      <c r="Q27" s="168">
        <f ca="1">IF($C27-Q$1&lt;År1,0,P26*(1-VLOOKUP($A27,[1]Hugst!$R$5:$W$9,MATCH(ROUNDUP((Q$1)/10,0)*10,[1]Hugst!$R$4:$W$4,0))))</f>
        <v>506.97531368258933</v>
      </c>
      <c r="R27" s="168">
        <f ca="1">IF($C27-R$1&lt;År1,0,Q26*(1-VLOOKUP($A27,[1]Hugst!$R$5:$W$9,MATCH(ROUNDUP((R$1)/10,0)*10,[1]Hugst!$R$4:$W$4,0))))</f>
        <v>509.5229283242079</v>
      </c>
      <c r="S27" s="168">
        <f ca="1">IF($C27-S$1&lt;År1,0,R26*(1-VLOOKUP($A27,[1]Hugst!$R$5:$W$9,MATCH(ROUNDUP((S$1)/10,0)*10,[1]Hugst!$R$4:$W$4,0))))</f>
        <v>512.08334504946833</v>
      </c>
      <c r="T27" s="168">
        <f ca="1">IF($C27-T$1&lt;År1,0,S26*(1-VLOOKUP($A27,[1]Hugst!$R$5:$W$9,MATCH(ROUNDUP((T$1)/10,0)*10,[1]Hugst!$R$4:$W$4,0))))</f>
        <v>514.65662819039426</v>
      </c>
      <c r="U27" s="168">
        <f ca="1">IF($C27-U$1&lt;År1,0,T26*(1-VLOOKUP($A27,[1]Hugst!$R$5:$W$9,MATCH(ROUNDUP((U$1)/10,0)*10,[1]Hugst!$R$4:$W$4,0))))</f>
        <v>517.24284240244015</v>
      </c>
      <c r="V27" s="168">
        <f ca="1">IF($C27-V$1&lt;År1,0,U26*(1-VLOOKUP($A27,[1]Hugst!$R$5:$W$9,MATCH(ROUNDUP((V$1)/10,0)*10,[1]Hugst!$R$4:$W$4,0))))</f>
        <v>519.84205266574281</v>
      </c>
      <c r="W27" s="168">
        <f ca="1">IF($C27-W$1&lt;År1,0,V26*(1-VLOOKUP($A27,[1]Hugst!$R$5:$W$9,MATCH(ROUNDUP((W$1)/10,0)*10,[1]Hugst!$R$4:$W$4,0))))</f>
        <v>522.45432428720233</v>
      </c>
      <c r="X27" s="168">
        <f ca="1">IF($C27-X$1&lt;År1,0,W26*(1-VLOOKUP($A27,[1]Hugst!$R$5:$W$9,MATCH(ROUNDUP((X$1)/10,0)*10,[1]Hugst!$R$4:$W$4,0))))</f>
        <v>525.07972290170437</v>
      </c>
      <c r="Y27" s="168">
        <f ca="1">IF($C27-Y$1&lt;År1,0,X26*(1-VLOOKUP($A27,[1]Hugst!$R$5:$W$9,MATCH(ROUNDUP((Y$1)/10,0)*10,[1]Hugst!$R$4:$W$4,0))))</f>
        <v>527.71831447407021</v>
      </c>
      <c r="Z27" s="168">
        <f ca="1">IF($C27-Z$1&lt;År1,0,Y26*(1-VLOOKUP($A27,[1]Hugst!$R$5:$W$9,MATCH(ROUNDUP((Z$1)/10,0)*10,[1]Hugst!$R$4:$W$4,0))))</f>
        <v>530.37016530057008</v>
      </c>
      <c r="AA27" s="168">
        <f ca="1">IF($C27-AA$1&lt;År1,0,Z26*(1-VLOOKUP($A27,[1]Hugst!$R$5:$W$9,MATCH(ROUNDUP((AA$1)/10,0)*10,[1]Hugst!$R$4:$W$4,0))))</f>
        <v>533.03534201062575</v>
      </c>
      <c r="AB27" s="168">
        <f ca="1">IF($C27-AB$1&lt;År1,0,AA26*(1-VLOOKUP($A27,[1]Hugst!$R$5:$W$9,MATCH(ROUNDUP((AB$1)/10,0)*10,[1]Hugst!$R$4:$W$4,0))))</f>
        <v>535.71391156846948</v>
      </c>
      <c r="AC27" s="168">
        <f ca="1">IF($C27-AC$1&lt;År1,0,AB26*(1-VLOOKUP($A27,[1]Hugst!$R$5:$W$9,MATCH(ROUNDUP((AC$1)/10,0)*10,[1]Hugst!$R$4:$W$4,0))))</f>
        <v>538.40594127484655</v>
      </c>
      <c r="AD27" s="168">
        <f ca="1">IF($C27-AD$1&lt;År1,0,AC26*(1-VLOOKUP($A27,[1]Hugst!$R$5:$W$9,MATCH(ROUNDUP((AD$1)/10,0)*10,[1]Hugst!$R$4:$W$4,0))))</f>
        <v>541.11149876867421</v>
      </c>
      <c r="AE27" s="168">
        <f ca="1">IF($C27-AE$1&lt;År1,0,AD26*(1-VLOOKUP($A27,[1]Hugst!$R$5:$W$9,MATCH(ROUNDUP((AE$1)/10,0)*10,[1]Hugst!$R$4:$W$4,0))))</f>
        <v>543.83065202883154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174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477.3795179061126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477.3795179061126</v>
      </c>
      <c r="G28" s="168">
        <f ca="1">IF($C28-G$1&lt;År1,0,F27*(1-VLOOKUP($A28,[1]Hugst!$R$5:$W$9,MATCH(ROUNDUP((G$1)/10,0)*10,[1]Hugst!$R$4:$W$4,0))))</f>
        <v>479.77840995587758</v>
      </c>
      <c r="H28" s="168">
        <f ca="1">IF($C28-H$1&lt;År1,0,G27*(1-VLOOKUP($A28,[1]Hugst!$R$5:$W$9,MATCH(ROUNDUP((H$1)/10,0)*10,[1]Hugst!$R$4:$W$4,0))))</f>
        <v>482.18935673957458</v>
      </c>
      <c r="I28" s="168">
        <f ca="1">IF($C28-I$1&lt;År1,0,H27*(1-VLOOKUP($A28,[1]Hugst!$R$5:$W$9,MATCH(ROUNDUP((I$1)/10,0)*10,[1]Hugst!$R$4:$W$4,0))))</f>
        <v>484.61241883374169</v>
      </c>
      <c r="J28" s="168">
        <f ca="1">IF($C28-J$1&lt;År1,0,I27*(1-VLOOKUP($A28,[1]Hugst!$R$5:$W$9,MATCH(ROUNDUP((J$1)/10,0)*10,[1]Hugst!$R$4:$W$4,0))))</f>
        <v>487.04765711934306</v>
      </c>
      <c r="K28" s="168">
        <f ca="1">IF($C28-K$1&lt;År1,0,J27*(1-VLOOKUP($A28,[1]Hugst!$R$5:$W$9,MATCH(ROUNDUP((K$1)/10,0)*10,[1]Hugst!$R$4:$W$4,0))))</f>
        <v>489.49513278326776</v>
      </c>
      <c r="L28" s="168">
        <f ca="1">IF($C28-L$1&lt;År1,0,K27*(1-VLOOKUP($A28,[1]Hugst!$R$5:$W$9,MATCH(ROUNDUP((L$1)/10,0)*10,[1]Hugst!$R$4:$W$4,0))))</f>
        <v>491.95490731985774</v>
      </c>
      <c r="M28" s="168">
        <f ca="1">IF($C28-M$1&lt;År1,0,L27*(1-VLOOKUP($A28,[1]Hugst!$R$5:$W$9,MATCH(ROUNDUP((M$1)/10,0)*10,[1]Hugst!$R$4:$W$4,0))))</f>
        <v>494.42704253250849</v>
      </c>
      <c r="N28" s="168">
        <f ca="1">IF($C28-N$1&lt;År1,0,M27*(1-VLOOKUP($A28,[1]Hugst!$R$5:$W$9,MATCH(ROUNDUP((N$1)/10,0)*10,[1]Hugst!$R$4:$W$4,0))))</f>
        <v>496.91160053521162</v>
      </c>
      <c r="O28" s="168">
        <f ca="1">IF($C28-O$1&lt;År1,0,N27*(1-VLOOKUP($A28,[1]Hugst!$R$5:$W$9,MATCH(ROUNDUP((O$1)/10,0)*10,[1]Hugst!$R$4:$W$4,0))))</f>
        <v>499.40864375396632</v>
      </c>
      <c r="P28" s="168">
        <f ca="1">IF($C28-P$1&lt;År1,0,O27*(1-VLOOKUP($A28,[1]Hugst!$R$5:$W$9,MATCH(ROUNDUP((P$1)/10,0)*10,[1]Hugst!$R$4:$W$4,0))))</f>
        <v>501.91823492861295</v>
      </c>
      <c r="Q28" s="168">
        <f ca="1">IF($C28-Q$1&lt;År1,0,P27*(1-VLOOKUP($A28,[1]Hugst!$R$5:$W$9,MATCH(ROUNDUP((Q$1)/10,0)*10,[1]Hugst!$R$4:$W$4,0))))</f>
        <v>504.44043711418635</v>
      </c>
      <c r="R28" s="168">
        <f ca="1">IF($C28-R$1&lt;År1,0,Q27*(1-VLOOKUP($A28,[1]Hugst!$R$5:$W$9,MATCH(ROUNDUP((R$1)/10,0)*10,[1]Hugst!$R$4:$W$4,0))))</f>
        <v>506.97531368258933</v>
      </c>
      <c r="S28" s="168">
        <f ca="1">IF($C28-S$1&lt;År1,0,R27*(1-VLOOKUP($A28,[1]Hugst!$R$5:$W$9,MATCH(ROUNDUP((S$1)/10,0)*10,[1]Hugst!$R$4:$W$4,0))))</f>
        <v>509.5229283242079</v>
      </c>
      <c r="T28" s="168">
        <f ca="1">IF($C28-T$1&lt;År1,0,S27*(1-VLOOKUP($A28,[1]Hugst!$R$5:$W$9,MATCH(ROUNDUP((T$1)/10,0)*10,[1]Hugst!$R$4:$W$4,0))))</f>
        <v>512.08334504946833</v>
      </c>
      <c r="U28" s="168">
        <f ca="1">IF($C28-U$1&lt;År1,0,T27*(1-VLOOKUP($A28,[1]Hugst!$R$5:$W$9,MATCH(ROUNDUP((U$1)/10,0)*10,[1]Hugst!$R$4:$W$4,0))))</f>
        <v>514.65662819039426</v>
      </c>
      <c r="V28" s="168">
        <f ca="1">IF($C28-V$1&lt;År1,0,U27*(1-VLOOKUP($A28,[1]Hugst!$R$5:$W$9,MATCH(ROUNDUP((V$1)/10,0)*10,[1]Hugst!$R$4:$W$4,0))))</f>
        <v>517.24284240244015</v>
      </c>
      <c r="W28" s="168">
        <f ca="1">IF($C28-W$1&lt;År1,0,V27*(1-VLOOKUP($A28,[1]Hugst!$R$5:$W$9,MATCH(ROUNDUP((W$1)/10,0)*10,[1]Hugst!$R$4:$W$4,0))))</f>
        <v>519.84205266574281</v>
      </c>
      <c r="X28" s="168">
        <f ca="1">IF($C28-X$1&lt;År1,0,W27*(1-VLOOKUP($A28,[1]Hugst!$R$5:$W$9,MATCH(ROUNDUP((X$1)/10,0)*10,[1]Hugst!$R$4:$W$4,0))))</f>
        <v>522.45432428720233</v>
      </c>
      <c r="Y28" s="168">
        <f ca="1">IF($C28-Y$1&lt;År1,0,X27*(1-VLOOKUP($A28,[1]Hugst!$R$5:$W$9,MATCH(ROUNDUP((Y$1)/10,0)*10,[1]Hugst!$R$4:$W$4,0))))</f>
        <v>525.07972290170437</v>
      </c>
      <c r="Z28" s="168">
        <f ca="1">IF($C28-Z$1&lt;År1,0,Y27*(1-VLOOKUP($A28,[1]Hugst!$R$5:$W$9,MATCH(ROUNDUP((Z$1)/10,0)*10,[1]Hugst!$R$4:$W$4,0))))</f>
        <v>527.71831447407021</v>
      </c>
      <c r="AA28" s="168">
        <f ca="1">IF($C28-AA$1&lt;År1,0,Z27*(1-VLOOKUP($A28,[1]Hugst!$R$5:$W$9,MATCH(ROUNDUP((AA$1)/10,0)*10,[1]Hugst!$R$4:$W$4,0))))</f>
        <v>530.37016530057008</v>
      </c>
      <c r="AB28" s="168">
        <f ca="1">IF($C28-AB$1&lt;År1,0,AA27*(1-VLOOKUP($A28,[1]Hugst!$R$5:$W$9,MATCH(ROUNDUP((AB$1)/10,0)*10,[1]Hugst!$R$4:$W$4,0))))</f>
        <v>533.03534201062575</v>
      </c>
      <c r="AC28" s="168">
        <f ca="1">IF($C28-AC$1&lt;År1,0,AB27*(1-VLOOKUP($A28,[1]Hugst!$R$5:$W$9,MATCH(ROUNDUP((AC$1)/10,0)*10,[1]Hugst!$R$4:$W$4,0))))</f>
        <v>535.71391156846948</v>
      </c>
      <c r="AD28" s="168">
        <f ca="1">IF($C28-AD$1&lt;År1,0,AC27*(1-VLOOKUP($A28,[1]Hugst!$R$5:$W$9,MATCH(ROUNDUP((AD$1)/10,0)*10,[1]Hugst!$R$4:$W$4,0))))</f>
        <v>538.40594127484655</v>
      </c>
      <c r="AE28" s="168">
        <f ca="1">IF($C28-AE$1&lt;År1,0,AD27*(1-VLOOKUP($A28,[1]Hugst!$R$5:$W$9,MATCH(ROUNDUP((AE$1)/10,0)*10,[1]Hugst!$R$4:$W$4,0))))</f>
        <v>541.11149876867421</v>
      </c>
      <c r="AF28" s="168">
        <f ca="1">IF($C28-AF$1&lt;År1,0,AE27*(1-VLOOKUP($A28,[1]Hugst!$R$5:$W$9,MATCH(ROUNDUP((AF$1)/10,0)*10,[1]Hugst!$R$4:$W$4,0))))</f>
        <v>543.83065202883154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174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474.99262031655235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474.99262031655235</v>
      </c>
      <c r="G29" s="168">
        <f ca="1">IF($C29-G$1&lt;År1,0,F28*(1-VLOOKUP($A29,[1]Hugst!$R$5:$W$9,MATCH(ROUNDUP((G$1)/10,0)*10,[1]Hugst!$R$4:$W$4,0))))</f>
        <v>477.3795179061126</v>
      </c>
      <c r="H29" s="168">
        <f ca="1">IF($C29-H$1&lt;År1,0,G28*(1-VLOOKUP($A29,[1]Hugst!$R$5:$W$9,MATCH(ROUNDUP((H$1)/10,0)*10,[1]Hugst!$R$4:$W$4,0))))</f>
        <v>479.77840995587758</v>
      </c>
      <c r="I29" s="168">
        <f ca="1">IF($C29-I$1&lt;År1,0,H28*(1-VLOOKUP($A29,[1]Hugst!$R$5:$W$9,MATCH(ROUNDUP((I$1)/10,0)*10,[1]Hugst!$R$4:$W$4,0))))</f>
        <v>482.18935673957458</v>
      </c>
      <c r="J29" s="168">
        <f ca="1">IF($C29-J$1&lt;År1,0,I28*(1-VLOOKUP($A29,[1]Hugst!$R$5:$W$9,MATCH(ROUNDUP((J$1)/10,0)*10,[1]Hugst!$R$4:$W$4,0))))</f>
        <v>484.61241883374169</v>
      </c>
      <c r="K29" s="168">
        <f ca="1">IF($C29-K$1&lt;År1,0,J28*(1-VLOOKUP($A29,[1]Hugst!$R$5:$W$9,MATCH(ROUNDUP((K$1)/10,0)*10,[1]Hugst!$R$4:$W$4,0))))</f>
        <v>487.04765711934306</v>
      </c>
      <c r="L29" s="168">
        <f ca="1">IF($C29-L$1&lt;År1,0,K28*(1-VLOOKUP($A29,[1]Hugst!$R$5:$W$9,MATCH(ROUNDUP((L$1)/10,0)*10,[1]Hugst!$R$4:$W$4,0))))</f>
        <v>489.49513278326776</v>
      </c>
      <c r="M29" s="168">
        <f ca="1">IF($C29-M$1&lt;År1,0,L28*(1-VLOOKUP($A29,[1]Hugst!$R$5:$W$9,MATCH(ROUNDUP((M$1)/10,0)*10,[1]Hugst!$R$4:$W$4,0))))</f>
        <v>491.95490731985774</v>
      </c>
      <c r="N29" s="168">
        <f ca="1">IF($C29-N$1&lt;År1,0,M28*(1-VLOOKUP($A29,[1]Hugst!$R$5:$W$9,MATCH(ROUNDUP((N$1)/10,0)*10,[1]Hugst!$R$4:$W$4,0))))</f>
        <v>494.42704253250849</v>
      </c>
      <c r="O29" s="168">
        <f ca="1">IF($C29-O$1&lt;År1,0,N28*(1-VLOOKUP($A29,[1]Hugst!$R$5:$W$9,MATCH(ROUNDUP((O$1)/10,0)*10,[1]Hugst!$R$4:$W$4,0))))</f>
        <v>496.91160053521162</v>
      </c>
      <c r="P29" s="168">
        <f ca="1">IF($C29-P$1&lt;År1,0,O28*(1-VLOOKUP($A29,[1]Hugst!$R$5:$W$9,MATCH(ROUNDUP((P$1)/10,0)*10,[1]Hugst!$R$4:$W$4,0))))</f>
        <v>499.40864375396632</v>
      </c>
      <c r="Q29" s="168">
        <f ca="1">IF($C29-Q$1&lt;År1,0,P28*(1-VLOOKUP($A29,[1]Hugst!$R$5:$W$9,MATCH(ROUNDUP((Q$1)/10,0)*10,[1]Hugst!$R$4:$W$4,0))))</f>
        <v>501.91823492861295</v>
      </c>
      <c r="R29" s="168">
        <f ca="1">IF($C29-R$1&lt;År1,0,Q28*(1-VLOOKUP($A29,[1]Hugst!$R$5:$W$9,MATCH(ROUNDUP((R$1)/10,0)*10,[1]Hugst!$R$4:$W$4,0))))</f>
        <v>504.44043711418635</v>
      </c>
      <c r="S29" s="168">
        <f ca="1">IF($C29-S$1&lt;År1,0,R28*(1-VLOOKUP($A29,[1]Hugst!$R$5:$W$9,MATCH(ROUNDUP((S$1)/10,0)*10,[1]Hugst!$R$4:$W$4,0))))</f>
        <v>506.97531368258933</v>
      </c>
      <c r="T29" s="168">
        <f ca="1">IF($C29-T$1&lt;År1,0,S28*(1-VLOOKUP($A29,[1]Hugst!$R$5:$W$9,MATCH(ROUNDUP((T$1)/10,0)*10,[1]Hugst!$R$4:$W$4,0))))</f>
        <v>509.5229283242079</v>
      </c>
      <c r="U29" s="168">
        <f ca="1">IF($C29-U$1&lt;År1,0,T28*(1-VLOOKUP($A29,[1]Hugst!$R$5:$W$9,MATCH(ROUNDUP((U$1)/10,0)*10,[1]Hugst!$R$4:$W$4,0))))</f>
        <v>512.08334504946833</v>
      </c>
      <c r="V29" s="168">
        <f ca="1">IF($C29-V$1&lt;År1,0,U28*(1-VLOOKUP($A29,[1]Hugst!$R$5:$W$9,MATCH(ROUNDUP((V$1)/10,0)*10,[1]Hugst!$R$4:$W$4,0))))</f>
        <v>514.65662819039426</v>
      </c>
      <c r="W29" s="168">
        <f ca="1">IF($C29-W$1&lt;År1,0,V28*(1-VLOOKUP($A29,[1]Hugst!$R$5:$W$9,MATCH(ROUNDUP((W$1)/10,0)*10,[1]Hugst!$R$4:$W$4,0))))</f>
        <v>517.24284240244015</v>
      </c>
      <c r="X29" s="168">
        <f ca="1">IF($C29-X$1&lt;År1,0,W28*(1-VLOOKUP($A29,[1]Hugst!$R$5:$W$9,MATCH(ROUNDUP((X$1)/10,0)*10,[1]Hugst!$R$4:$W$4,0))))</f>
        <v>519.84205266574281</v>
      </c>
      <c r="Y29" s="168">
        <f ca="1">IF($C29-Y$1&lt;År1,0,X28*(1-VLOOKUP($A29,[1]Hugst!$R$5:$W$9,MATCH(ROUNDUP((Y$1)/10,0)*10,[1]Hugst!$R$4:$W$4,0))))</f>
        <v>522.45432428720233</v>
      </c>
      <c r="Z29" s="168">
        <f ca="1">IF($C29-Z$1&lt;År1,0,Y28*(1-VLOOKUP($A29,[1]Hugst!$R$5:$W$9,MATCH(ROUNDUP((Z$1)/10,0)*10,[1]Hugst!$R$4:$W$4,0))))</f>
        <v>525.07972290170437</v>
      </c>
      <c r="AA29" s="168">
        <f ca="1">IF($C29-AA$1&lt;År1,0,Z28*(1-VLOOKUP($A29,[1]Hugst!$R$5:$W$9,MATCH(ROUNDUP((AA$1)/10,0)*10,[1]Hugst!$R$4:$W$4,0))))</f>
        <v>527.71831447407021</v>
      </c>
      <c r="AB29" s="168">
        <f ca="1">IF($C29-AB$1&lt;År1,0,AA28*(1-VLOOKUP($A29,[1]Hugst!$R$5:$W$9,MATCH(ROUNDUP((AB$1)/10,0)*10,[1]Hugst!$R$4:$W$4,0))))</f>
        <v>530.37016530057008</v>
      </c>
      <c r="AC29" s="168">
        <f ca="1">IF($C29-AC$1&lt;År1,0,AB28*(1-VLOOKUP($A29,[1]Hugst!$R$5:$W$9,MATCH(ROUNDUP((AC$1)/10,0)*10,[1]Hugst!$R$4:$W$4,0))))</f>
        <v>533.03534201062575</v>
      </c>
      <c r="AD29" s="168">
        <f ca="1">IF($C29-AD$1&lt;År1,0,AC28*(1-VLOOKUP($A29,[1]Hugst!$R$5:$W$9,MATCH(ROUNDUP((AD$1)/10,0)*10,[1]Hugst!$R$4:$W$4,0))))</f>
        <v>535.71391156846948</v>
      </c>
      <c r="AE29" s="168">
        <f ca="1">IF($C29-AE$1&lt;År1,0,AD28*(1-VLOOKUP($A29,[1]Hugst!$R$5:$W$9,MATCH(ROUNDUP((AE$1)/10,0)*10,[1]Hugst!$R$4:$W$4,0))))</f>
        <v>538.40594127484655</v>
      </c>
      <c r="AF29" s="168">
        <f ca="1">IF($C29-AF$1&lt;År1,0,AE28*(1-VLOOKUP($A29,[1]Hugst!$R$5:$W$9,MATCH(ROUNDUP((AF$1)/10,0)*10,[1]Hugst!$R$4:$W$4,0))))</f>
        <v>541.11149876867421</v>
      </c>
      <c r="AG29" s="168">
        <f ca="1">IF($C29-AG$1&lt;År1,0,AF28*(1-VLOOKUP($A29,[1]Hugst!$R$5:$W$9,MATCH(ROUNDUP((AG$1)/10,0)*10,[1]Hugst!$R$4:$W$4,0))))</f>
        <v>543.83065202883154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174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472.61765721498523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472.61765721498523</v>
      </c>
      <c r="G30" s="168">
        <f ca="1">IF($C30-G$1&lt;År1,0,F29*(1-VLOOKUP($A30,[1]Hugst!$R$5:$W$9,MATCH(ROUNDUP((G$1)/10,0)*10,[1]Hugst!$R$4:$W$4,0))))</f>
        <v>474.99262031655235</v>
      </c>
      <c r="H30" s="168">
        <f ca="1">IF($C30-H$1&lt;År1,0,G29*(1-VLOOKUP($A30,[1]Hugst!$R$5:$W$9,MATCH(ROUNDUP((H$1)/10,0)*10,[1]Hugst!$R$4:$W$4,0))))</f>
        <v>477.3795179061126</v>
      </c>
      <c r="I30" s="168">
        <f ca="1">IF($C30-I$1&lt;År1,0,H29*(1-VLOOKUP($A30,[1]Hugst!$R$5:$W$9,MATCH(ROUNDUP((I$1)/10,0)*10,[1]Hugst!$R$4:$W$4,0))))</f>
        <v>479.77840995587758</v>
      </c>
      <c r="J30" s="168">
        <f ca="1">IF($C30-J$1&lt;År1,0,I29*(1-VLOOKUP($A30,[1]Hugst!$R$5:$W$9,MATCH(ROUNDUP((J$1)/10,0)*10,[1]Hugst!$R$4:$W$4,0))))</f>
        <v>482.18935673957458</v>
      </c>
      <c r="K30" s="168">
        <f ca="1">IF($C30-K$1&lt;År1,0,J29*(1-VLOOKUP($A30,[1]Hugst!$R$5:$W$9,MATCH(ROUNDUP((K$1)/10,0)*10,[1]Hugst!$R$4:$W$4,0))))</f>
        <v>484.61241883374169</v>
      </c>
      <c r="L30" s="168">
        <f ca="1">IF($C30-L$1&lt;År1,0,K29*(1-VLOOKUP($A30,[1]Hugst!$R$5:$W$9,MATCH(ROUNDUP((L$1)/10,0)*10,[1]Hugst!$R$4:$W$4,0))))</f>
        <v>487.04765711934306</v>
      </c>
      <c r="M30" s="168">
        <f ca="1">IF($C30-M$1&lt;År1,0,L29*(1-VLOOKUP($A30,[1]Hugst!$R$5:$W$9,MATCH(ROUNDUP((M$1)/10,0)*10,[1]Hugst!$R$4:$W$4,0))))</f>
        <v>489.49513278326776</v>
      </c>
      <c r="N30" s="168">
        <f ca="1">IF($C30-N$1&lt;År1,0,M29*(1-VLOOKUP($A30,[1]Hugst!$R$5:$W$9,MATCH(ROUNDUP((N$1)/10,0)*10,[1]Hugst!$R$4:$W$4,0))))</f>
        <v>491.95490731985774</v>
      </c>
      <c r="O30" s="168">
        <f ca="1">IF($C30-O$1&lt;År1,0,N29*(1-VLOOKUP($A30,[1]Hugst!$R$5:$W$9,MATCH(ROUNDUP((O$1)/10,0)*10,[1]Hugst!$R$4:$W$4,0))))</f>
        <v>494.42704253250849</v>
      </c>
      <c r="P30" s="168">
        <f ca="1">IF($C30-P$1&lt;År1,0,O29*(1-VLOOKUP($A30,[1]Hugst!$R$5:$W$9,MATCH(ROUNDUP((P$1)/10,0)*10,[1]Hugst!$R$4:$W$4,0))))</f>
        <v>496.91160053521162</v>
      </c>
      <c r="Q30" s="168">
        <f ca="1">IF($C30-Q$1&lt;År1,0,P29*(1-VLOOKUP($A30,[1]Hugst!$R$5:$W$9,MATCH(ROUNDUP((Q$1)/10,0)*10,[1]Hugst!$R$4:$W$4,0))))</f>
        <v>499.40864375396632</v>
      </c>
      <c r="R30" s="168">
        <f ca="1">IF($C30-R$1&lt;År1,0,Q29*(1-VLOOKUP($A30,[1]Hugst!$R$5:$W$9,MATCH(ROUNDUP((R$1)/10,0)*10,[1]Hugst!$R$4:$W$4,0))))</f>
        <v>501.91823492861295</v>
      </c>
      <c r="S30" s="168">
        <f ca="1">IF($C30-S$1&lt;År1,0,R29*(1-VLOOKUP($A30,[1]Hugst!$R$5:$W$9,MATCH(ROUNDUP((S$1)/10,0)*10,[1]Hugst!$R$4:$W$4,0))))</f>
        <v>504.44043711418635</v>
      </c>
      <c r="T30" s="168">
        <f ca="1">IF($C30-T$1&lt;År1,0,S29*(1-VLOOKUP($A30,[1]Hugst!$R$5:$W$9,MATCH(ROUNDUP((T$1)/10,0)*10,[1]Hugst!$R$4:$W$4,0))))</f>
        <v>506.97531368258933</v>
      </c>
      <c r="U30" s="168">
        <f ca="1">IF($C30-U$1&lt;År1,0,T29*(1-VLOOKUP($A30,[1]Hugst!$R$5:$W$9,MATCH(ROUNDUP((U$1)/10,0)*10,[1]Hugst!$R$4:$W$4,0))))</f>
        <v>509.5229283242079</v>
      </c>
      <c r="V30" s="168">
        <f ca="1">IF($C30-V$1&lt;År1,0,U29*(1-VLOOKUP($A30,[1]Hugst!$R$5:$W$9,MATCH(ROUNDUP((V$1)/10,0)*10,[1]Hugst!$R$4:$W$4,0))))</f>
        <v>512.08334504946833</v>
      </c>
      <c r="W30" s="168">
        <f ca="1">IF($C30-W$1&lt;År1,0,V29*(1-VLOOKUP($A30,[1]Hugst!$R$5:$W$9,MATCH(ROUNDUP((W$1)/10,0)*10,[1]Hugst!$R$4:$W$4,0))))</f>
        <v>514.65662819039426</v>
      </c>
      <c r="X30" s="168">
        <f ca="1">IF($C30-X$1&lt;År1,0,W29*(1-VLOOKUP($A30,[1]Hugst!$R$5:$W$9,MATCH(ROUNDUP((X$1)/10,0)*10,[1]Hugst!$R$4:$W$4,0))))</f>
        <v>517.24284240244015</v>
      </c>
      <c r="Y30" s="168">
        <f ca="1">IF($C30-Y$1&lt;År1,0,X29*(1-VLOOKUP($A30,[1]Hugst!$R$5:$W$9,MATCH(ROUNDUP((Y$1)/10,0)*10,[1]Hugst!$R$4:$W$4,0))))</f>
        <v>519.84205266574281</v>
      </c>
      <c r="Z30" s="168">
        <f ca="1">IF($C30-Z$1&lt;År1,0,Y29*(1-VLOOKUP($A30,[1]Hugst!$R$5:$W$9,MATCH(ROUNDUP((Z$1)/10,0)*10,[1]Hugst!$R$4:$W$4,0))))</f>
        <v>522.45432428720233</v>
      </c>
      <c r="AA30" s="168">
        <f ca="1">IF($C30-AA$1&lt;År1,0,Z29*(1-VLOOKUP($A30,[1]Hugst!$R$5:$W$9,MATCH(ROUNDUP((AA$1)/10,0)*10,[1]Hugst!$R$4:$W$4,0))))</f>
        <v>525.07972290170437</v>
      </c>
      <c r="AB30" s="168">
        <f ca="1">IF($C30-AB$1&lt;År1,0,AA29*(1-VLOOKUP($A30,[1]Hugst!$R$5:$W$9,MATCH(ROUNDUP((AB$1)/10,0)*10,[1]Hugst!$R$4:$W$4,0))))</f>
        <v>527.71831447407021</v>
      </c>
      <c r="AC30" s="168">
        <f ca="1">IF($C30-AC$1&lt;År1,0,AB29*(1-VLOOKUP($A30,[1]Hugst!$R$5:$W$9,MATCH(ROUNDUP((AC$1)/10,0)*10,[1]Hugst!$R$4:$W$4,0))))</f>
        <v>530.37016530057008</v>
      </c>
      <c r="AD30" s="168">
        <f ca="1">IF($C30-AD$1&lt;År1,0,AC29*(1-VLOOKUP($A30,[1]Hugst!$R$5:$W$9,MATCH(ROUNDUP((AD$1)/10,0)*10,[1]Hugst!$R$4:$W$4,0))))</f>
        <v>533.03534201062575</v>
      </c>
      <c r="AE30" s="168">
        <f ca="1">IF($C30-AE$1&lt;År1,0,AD29*(1-VLOOKUP($A30,[1]Hugst!$R$5:$W$9,MATCH(ROUNDUP((AE$1)/10,0)*10,[1]Hugst!$R$4:$W$4,0))))</f>
        <v>535.71391156846948</v>
      </c>
      <c r="AF30" s="168">
        <f ca="1">IF($C30-AF$1&lt;År1,0,AE29*(1-VLOOKUP($A30,[1]Hugst!$R$5:$W$9,MATCH(ROUNDUP((AF$1)/10,0)*10,[1]Hugst!$R$4:$W$4,0))))</f>
        <v>538.40594127484655</v>
      </c>
      <c r="AG30" s="168">
        <f ca="1">IF($C30-AG$1&lt;År1,0,AF29*(1-VLOOKUP($A30,[1]Hugst!$R$5:$W$9,MATCH(ROUNDUP((AG$1)/10,0)*10,[1]Hugst!$R$4:$W$4,0))))</f>
        <v>541.11149876867421</v>
      </c>
      <c r="AH30" s="168">
        <f ca="1">IF($C30-AH$1&lt;År1,0,AG29*(1-VLOOKUP($A30,[1]Hugst!$R$5:$W$9,MATCH(ROUNDUP((AH$1)/10,0)*10,[1]Hugst!$R$4:$W$4,0))))</f>
        <v>543.83065202883154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174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470.25456892891089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470.25456892891089</v>
      </c>
      <c r="G31" s="168">
        <f ca="1">IF($C31-G$1&lt;År1,0,F30*(1-VLOOKUP($A31,[1]Hugst!$R$5:$W$9,MATCH(ROUNDUP((G$1)/10,0)*10,[1]Hugst!$R$4:$W$4,0))))</f>
        <v>472.61765721498523</v>
      </c>
      <c r="H31" s="168">
        <f ca="1">IF($C31-H$1&lt;År1,0,G30*(1-VLOOKUP($A31,[1]Hugst!$R$5:$W$9,MATCH(ROUNDUP((H$1)/10,0)*10,[1]Hugst!$R$4:$W$4,0))))</f>
        <v>474.99262031655235</v>
      </c>
      <c r="I31" s="168">
        <f ca="1">IF($C31-I$1&lt;År1,0,H30*(1-VLOOKUP($A31,[1]Hugst!$R$5:$W$9,MATCH(ROUNDUP((I$1)/10,0)*10,[1]Hugst!$R$4:$W$4,0))))</f>
        <v>477.3795179061126</v>
      </c>
      <c r="J31" s="168">
        <f ca="1">IF($C31-J$1&lt;År1,0,I30*(1-VLOOKUP($A31,[1]Hugst!$R$5:$W$9,MATCH(ROUNDUP((J$1)/10,0)*10,[1]Hugst!$R$4:$W$4,0))))</f>
        <v>479.77840995587758</v>
      </c>
      <c r="K31" s="168">
        <f ca="1">IF($C31-K$1&lt;År1,0,J30*(1-VLOOKUP($A31,[1]Hugst!$R$5:$W$9,MATCH(ROUNDUP((K$1)/10,0)*10,[1]Hugst!$R$4:$W$4,0))))</f>
        <v>482.18935673957458</v>
      </c>
      <c r="L31" s="168">
        <f ca="1">IF($C31-L$1&lt;År1,0,K30*(1-VLOOKUP($A31,[1]Hugst!$R$5:$W$9,MATCH(ROUNDUP((L$1)/10,0)*10,[1]Hugst!$R$4:$W$4,0))))</f>
        <v>484.61241883374169</v>
      </c>
      <c r="M31" s="168">
        <f ca="1">IF($C31-M$1&lt;År1,0,L30*(1-VLOOKUP($A31,[1]Hugst!$R$5:$W$9,MATCH(ROUNDUP((M$1)/10,0)*10,[1]Hugst!$R$4:$W$4,0))))</f>
        <v>487.04765711934306</v>
      </c>
      <c r="N31" s="168">
        <f ca="1">IF($C31-N$1&lt;År1,0,M30*(1-VLOOKUP($A31,[1]Hugst!$R$5:$W$9,MATCH(ROUNDUP((N$1)/10,0)*10,[1]Hugst!$R$4:$W$4,0))))</f>
        <v>489.49513278326776</v>
      </c>
      <c r="O31" s="168">
        <f ca="1">IF($C31-O$1&lt;År1,0,N30*(1-VLOOKUP($A31,[1]Hugst!$R$5:$W$9,MATCH(ROUNDUP((O$1)/10,0)*10,[1]Hugst!$R$4:$W$4,0))))</f>
        <v>491.95490731985774</v>
      </c>
      <c r="P31" s="168">
        <f ca="1">IF($C31-P$1&lt;År1,0,O30*(1-VLOOKUP($A31,[1]Hugst!$R$5:$W$9,MATCH(ROUNDUP((P$1)/10,0)*10,[1]Hugst!$R$4:$W$4,0))))</f>
        <v>494.42704253250849</v>
      </c>
      <c r="Q31" s="168">
        <f ca="1">IF($C31-Q$1&lt;År1,0,P30*(1-VLOOKUP($A31,[1]Hugst!$R$5:$W$9,MATCH(ROUNDUP((Q$1)/10,0)*10,[1]Hugst!$R$4:$W$4,0))))</f>
        <v>496.91160053521162</v>
      </c>
      <c r="R31" s="168">
        <f ca="1">IF($C31-R$1&lt;År1,0,Q30*(1-VLOOKUP($A31,[1]Hugst!$R$5:$W$9,MATCH(ROUNDUP((R$1)/10,0)*10,[1]Hugst!$R$4:$W$4,0))))</f>
        <v>499.40864375396632</v>
      </c>
      <c r="S31" s="168">
        <f ca="1">IF($C31-S$1&lt;År1,0,R30*(1-VLOOKUP($A31,[1]Hugst!$R$5:$W$9,MATCH(ROUNDUP((S$1)/10,0)*10,[1]Hugst!$R$4:$W$4,0))))</f>
        <v>501.91823492861295</v>
      </c>
      <c r="T31" s="168">
        <f ca="1">IF($C31-T$1&lt;År1,0,S30*(1-VLOOKUP($A31,[1]Hugst!$R$5:$W$9,MATCH(ROUNDUP((T$1)/10,0)*10,[1]Hugst!$R$4:$W$4,0))))</f>
        <v>504.44043711418635</v>
      </c>
      <c r="U31" s="168">
        <f ca="1">IF($C31-U$1&lt;År1,0,T30*(1-VLOOKUP($A31,[1]Hugst!$R$5:$W$9,MATCH(ROUNDUP((U$1)/10,0)*10,[1]Hugst!$R$4:$W$4,0))))</f>
        <v>506.97531368258933</v>
      </c>
      <c r="V31" s="168">
        <f ca="1">IF($C31-V$1&lt;År1,0,U30*(1-VLOOKUP($A31,[1]Hugst!$R$5:$W$9,MATCH(ROUNDUP((V$1)/10,0)*10,[1]Hugst!$R$4:$W$4,0))))</f>
        <v>509.5229283242079</v>
      </c>
      <c r="W31" s="168">
        <f ca="1">IF($C31-W$1&lt;År1,0,V30*(1-VLOOKUP($A31,[1]Hugst!$R$5:$W$9,MATCH(ROUNDUP((W$1)/10,0)*10,[1]Hugst!$R$4:$W$4,0))))</f>
        <v>512.08334504946833</v>
      </c>
      <c r="X31" s="168">
        <f ca="1">IF($C31-X$1&lt;År1,0,W30*(1-VLOOKUP($A31,[1]Hugst!$R$5:$W$9,MATCH(ROUNDUP((X$1)/10,0)*10,[1]Hugst!$R$4:$W$4,0))))</f>
        <v>514.65662819039426</v>
      </c>
      <c r="Y31" s="168">
        <f ca="1">IF($C31-Y$1&lt;År1,0,X30*(1-VLOOKUP($A31,[1]Hugst!$R$5:$W$9,MATCH(ROUNDUP((Y$1)/10,0)*10,[1]Hugst!$R$4:$W$4,0))))</f>
        <v>517.24284240244015</v>
      </c>
      <c r="Z31" s="168">
        <f ca="1">IF($C31-Z$1&lt;År1,0,Y30*(1-VLOOKUP($A31,[1]Hugst!$R$5:$W$9,MATCH(ROUNDUP((Z$1)/10,0)*10,[1]Hugst!$R$4:$W$4,0))))</f>
        <v>519.84205266574281</v>
      </c>
      <c r="AA31" s="168">
        <f ca="1">IF($C31-AA$1&lt;År1,0,Z30*(1-VLOOKUP($A31,[1]Hugst!$R$5:$W$9,MATCH(ROUNDUP((AA$1)/10,0)*10,[1]Hugst!$R$4:$W$4,0))))</f>
        <v>522.45432428720233</v>
      </c>
      <c r="AB31" s="168">
        <f ca="1">IF($C31-AB$1&lt;År1,0,AA30*(1-VLOOKUP($A31,[1]Hugst!$R$5:$W$9,MATCH(ROUNDUP((AB$1)/10,0)*10,[1]Hugst!$R$4:$W$4,0))))</f>
        <v>525.07972290170437</v>
      </c>
      <c r="AC31" s="168">
        <f ca="1">IF($C31-AC$1&lt;År1,0,AB30*(1-VLOOKUP($A31,[1]Hugst!$R$5:$W$9,MATCH(ROUNDUP((AC$1)/10,0)*10,[1]Hugst!$R$4:$W$4,0))))</f>
        <v>527.71831447407021</v>
      </c>
      <c r="AD31" s="168">
        <f ca="1">IF($C31-AD$1&lt;År1,0,AC30*(1-VLOOKUP($A31,[1]Hugst!$R$5:$W$9,MATCH(ROUNDUP((AD$1)/10,0)*10,[1]Hugst!$R$4:$W$4,0))))</f>
        <v>530.37016530057008</v>
      </c>
      <c r="AE31" s="168">
        <f ca="1">IF($C31-AE$1&lt;År1,0,AD30*(1-VLOOKUP($A31,[1]Hugst!$R$5:$W$9,MATCH(ROUNDUP((AE$1)/10,0)*10,[1]Hugst!$R$4:$W$4,0))))</f>
        <v>533.03534201062575</v>
      </c>
      <c r="AF31" s="168">
        <f ca="1">IF($C31-AF$1&lt;År1,0,AE30*(1-VLOOKUP($A31,[1]Hugst!$R$5:$W$9,MATCH(ROUNDUP((AF$1)/10,0)*10,[1]Hugst!$R$4:$W$4,0))))</f>
        <v>535.71391156846948</v>
      </c>
      <c r="AG31" s="168">
        <f ca="1">IF($C31-AG$1&lt;År1,0,AF30*(1-VLOOKUP($A31,[1]Hugst!$R$5:$W$9,MATCH(ROUNDUP((AG$1)/10,0)*10,[1]Hugst!$R$4:$W$4,0))))</f>
        <v>538.40594127484655</v>
      </c>
      <c r="AH31" s="168">
        <f ca="1">IF($C31-AH$1&lt;År1,0,AG30*(1-VLOOKUP($A31,[1]Hugst!$R$5:$W$9,MATCH(ROUNDUP((AH$1)/10,0)*10,[1]Hugst!$R$4:$W$4,0))))</f>
        <v>541.11149876867421</v>
      </c>
      <c r="AI31" s="168">
        <f ca="1">IF($C31-AI$1&lt;År1,0,AH30*(1-VLOOKUP($A31,[1]Hugst!$R$5:$W$9,MATCH(ROUNDUP((AI$1)/10,0)*10,[1]Hugst!$R$4:$W$4,0))))</f>
        <v>543.83065202883154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174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467.90329608427419</v>
      </c>
      <c r="E32" s="168">
        <f t="shared" ca="1" si="0"/>
        <v>1.7934840652014827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469.69678014947567</v>
      </c>
      <c r="G32" s="168">
        <f ca="1">IF($C32-G$1&lt;År1,0,F31*(1-VLOOKUP($A32,[1]Hugst!$R$5:$W$9,MATCH(ROUNDUP((G$1)/10,0)*10,[1]Hugst!$R$4:$W$4,0))))</f>
        <v>470.25456892891089</v>
      </c>
      <c r="H32" s="168">
        <f ca="1">IF($C32-H$1&lt;År1,0,G31*(1-VLOOKUP($A32,[1]Hugst!$R$5:$W$9,MATCH(ROUNDUP((H$1)/10,0)*10,[1]Hugst!$R$4:$W$4,0))))</f>
        <v>472.61765721498523</v>
      </c>
      <c r="I32" s="168">
        <f ca="1">IF($C32-I$1&lt;År1,0,H31*(1-VLOOKUP($A32,[1]Hugst!$R$5:$W$9,MATCH(ROUNDUP((I$1)/10,0)*10,[1]Hugst!$R$4:$W$4,0))))</f>
        <v>474.99262031655235</v>
      </c>
      <c r="J32" s="168">
        <f ca="1">IF($C32-J$1&lt;År1,0,I31*(1-VLOOKUP($A32,[1]Hugst!$R$5:$W$9,MATCH(ROUNDUP((J$1)/10,0)*10,[1]Hugst!$R$4:$W$4,0))))</f>
        <v>477.3795179061126</v>
      </c>
      <c r="K32" s="168">
        <f ca="1">IF($C32-K$1&lt;År1,0,J31*(1-VLOOKUP($A32,[1]Hugst!$R$5:$W$9,MATCH(ROUNDUP((K$1)/10,0)*10,[1]Hugst!$R$4:$W$4,0))))</f>
        <v>479.77840995587758</v>
      </c>
      <c r="L32" s="168">
        <f ca="1">IF($C32-L$1&lt;År1,0,K31*(1-VLOOKUP($A32,[1]Hugst!$R$5:$W$9,MATCH(ROUNDUP((L$1)/10,0)*10,[1]Hugst!$R$4:$W$4,0))))</f>
        <v>482.18935673957458</v>
      </c>
      <c r="M32" s="168">
        <f ca="1">IF($C32-M$1&lt;År1,0,L31*(1-VLOOKUP($A32,[1]Hugst!$R$5:$W$9,MATCH(ROUNDUP((M$1)/10,0)*10,[1]Hugst!$R$4:$W$4,0))))</f>
        <v>484.61241883374169</v>
      </c>
      <c r="N32" s="168">
        <f ca="1">IF($C32-N$1&lt;År1,0,M31*(1-VLOOKUP($A32,[1]Hugst!$R$5:$W$9,MATCH(ROUNDUP((N$1)/10,0)*10,[1]Hugst!$R$4:$W$4,0))))</f>
        <v>487.04765711934306</v>
      </c>
      <c r="O32" s="168">
        <f ca="1">IF($C32-O$1&lt;År1,0,N31*(1-VLOOKUP($A32,[1]Hugst!$R$5:$W$9,MATCH(ROUNDUP((O$1)/10,0)*10,[1]Hugst!$R$4:$W$4,0))))</f>
        <v>489.49513278326776</v>
      </c>
      <c r="P32" s="168">
        <f ca="1">IF($C32-P$1&lt;År1,0,O31*(1-VLOOKUP($A32,[1]Hugst!$R$5:$W$9,MATCH(ROUNDUP((P$1)/10,0)*10,[1]Hugst!$R$4:$W$4,0))))</f>
        <v>491.95490731985774</v>
      </c>
      <c r="Q32" s="168">
        <f ca="1">IF($C32-Q$1&lt;År1,0,P31*(1-VLOOKUP($A32,[1]Hugst!$R$5:$W$9,MATCH(ROUNDUP((Q$1)/10,0)*10,[1]Hugst!$R$4:$W$4,0))))</f>
        <v>494.42704253250849</v>
      </c>
      <c r="R32" s="168">
        <f ca="1">IF($C32-R$1&lt;År1,0,Q31*(1-VLOOKUP($A32,[1]Hugst!$R$5:$W$9,MATCH(ROUNDUP((R$1)/10,0)*10,[1]Hugst!$R$4:$W$4,0))))</f>
        <v>496.91160053521162</v>
      </c>
      <c r="S32" s="168">
        <f ca="1">IF($C32-S$1&lt;År1,0,R31*(1-VLOOKUP($A32,[1]Hugst!$R$5:$W$9,MATCH(ROUNDUP((S$1)/10,0)*10,[1]Hugst!$R$4:$W$4,0))))</f>
        <v>499.40864375396632</v>
      </c>
      <c r="T32" s="168">
        <f ca="1">IF($C32-T$1&lt;År1,0,S31*(1-VLOOKUP($A32,[1]Hugst!$R$5:$W$9,MATCH(ROUNDUP((T$1)/10,0)*10,[1]Hugst!$R$4:$W$4,0))))</f>
        <v>501.91823492861295</v>
      </c>
      <c r="U32" s="168">
        <f ca="1">IF($C32-U$1&lt;År1,0,T31*(1-VLOOKUP($A32,[1]Hugst!$R$5:$W$9,MATCH(ROUNDUP((U$1)/10,0)*10,[1]Hugst!$R$4:$W$4,0))))</f>
        <v>504.44043711418635</v>
      </c>
      <c r="V32" s="168">
        <f ca="1">IF($C32-V$1&lt;År1,0,U31*(1-VLOOKUP($A32,[1]Hugst!$R$5:$W$9,MATCH(ROUNDUP((V$1)/10,0)*10,[1]Hugst!$R$4:$W$4,0))))</f>
        <v>506.97531368258933</v>
      </c>
      <c r="W32" s="168">
        <f ca="1">IF($C32-W$1&lt;År1,0,V31*(1-VLOOKUP($A32,[1]Hugst!$R$5:$W$9,MATCH(ROUNDUP((W$1)/10,0)*10,[1]Hugst!$R$4:$W$4,0))))</f>
        <v>509.5229283242079</v>
      </c>
      <c r="X32" s="168">
        <f ca="1">IF($C32-X$1&lt;År1,0,W31*(1-VLOOKUP($A32,[1]Hugst!$R$5:$W$9,MATCH(ROUNDUP((X$1)/10,0)*10,[1]Hugst!$R$4:$W$4,0))))</f>
        <v>512.08334504946833</v>
      </c>
      <c r="Y32" s="168">
        <f ca="1">IF($C32-Y$1&lt;År1,0,X31*(1-VLOOKUP($A32,[1]Hugst!$R$5:$W$9,MATCH(ROUNDUP((Y$1)/10,0)*10,[1]Hugst!$R$4:$W$4,0))))</f>
        <v>514.65662819039426</v>
      </c>
      <c r="Z32" s="168">
        <f ca="1">IF($C32-Z$1&lt;År1,0,Y31*(1-VLOOKUP($A32,[1]Hugst!$R$5:$W$9,MATCH(ROUNDUP((Z$1)/10,0)*10,[1]Hugst!$R$4:$W$4,0))))</f>
        <v>517.24284240244015</v>
      </c>
      <c r="AA32" s="168">
        <f ca="1">IF($C32-AA$1&lt;År1,0,Z31*(1-VLOOKUP($A32,[1]Hugst!$R$5:$W$9,MATCH(ROUNDUP((AA$1)/10,0)*10,[1]Hugst!$R$4:$W$4,0))))</f>
        <v>519.84205266574281</v>
      </c>
      <c r="AB32" s="168">
        <f ca="1">IF($C32-AB$1&lt;År1,0,AA31*(1-VLOOKUP($A32,[1]Hugst!$R$5:$W$9,MATCH(ROUNDUP((AB$1)/10,0)*10,[1]Hugst!$R$4:$W$4,0))))</f>
        <v>522.45432428720233</v>
      </c>
      <c r="AC32" s="168">
        <f ca="1">IF($C32-AC$1&lt;År1,0,AB31*(1-VLOOKUP($A32,[1]Hugst!$R$5:$W$9,MATCH(ROUNDUP((AC$1)/10,0)*10,[1]Hugst!$R$4:$W$4,0))))</f>
        <v>525.07972290170437</v>
      </c>
      <c r="AD32" s="168">
        <f ca="1">IF($C32-AD$1&lt;År1,0,AC31*(1-VLOOKUP($A32,[1]Hugst!$R$5:$W$9,MATCH(ROUNDUP((AD$1)/10,0)*10,[1]Hugst!$R$4:$W$4,0))))</f>
        <v>527.71831447407021</v>
      </c>
      <c r="AE32" s="168">
        <f ca="1">IF($C32-AE$1&lt;År1,0,AD31*(1-VLOOKUP($A32,[1]Hugst!$R$5:$W$9,MATCH(ROUNDUP((AE$1)/10,0)*10,[1]Hugst!$R$4:$W$4,0))))</f>
        <v>530.37016530057008</v>
      </c>
      <c r="AF32" s="168">
        <f ca="1">IF($C32-AF$1&lt;År1,0,AE31*(1-VLOOKUP($A32,[1]Hugst!$R$5:$W$9,MATCH(ROUNDUP((AF$1)/10,0)*10,[1]Hugst!$R$4:$W$4,0))))</f>
        <v>533.03534201062575</v>
      </c>
      <c r="AG32" s="168">
        <f ca="1">IF($C32-AG$1&lt;År1,0,AF31*(1-VLOOKUP($A32,[1]Hugst!$R$5:$W$9,MATCH(ROUNDUP((AG$1)/10,0)*10,[1]Hugst!$R$4:$W$4,0))))</f>
        <v>535.71391156846948</v>
      </c>
      <c r="AH32" s="168">
        <f ca="1">IF($C32-AH$1&lt;År1,0,AG31*(1-VLOOKUP($A32,[1]Hugst!$R$5:$W$9,MATCH(ROUNDUP((AH$1)/10,0)*10,[1]Hugst!$R$4:$W$4,0))))</f>
        <v>538.40594127484655</v>
      </c>
      <c r="AI32" s="168">
        <f ca="1">IF($C32-AI$1&lt;År1,0,AH31*(1-VLOOKUP($A32,[1]Hugst!$R$5:$W$9,MATCH(ROUNDUP((AI$1)/10,0)*10,[1]Hugst!$R$4:$W$4,0))))</f>
        <v>541.11149876867421</v>
      </c>
      <c r="AJ32" s="168">
        <f ca="1">IF($C32-AJ$1&lt;År1,0,AI31*(1-VLOOKUP($A32,[1]Hugst!$R$5:$W$9,MATCH(ROUNDUP((AJ$1)/10,0)*10,[1]Hugst!$R$4:$W$4,0))))</f>
        <v>542.03716796363005</v>
      </c>
      <c r="AL32" s="168">
        <f ca="1">SUM(F32:AJ32)</f>
        <v>15653.374484996821</v>
      </c>
    </row>
    <row r="33" spans="1:36" s="168" customFormat="1" x14ac:dyDescent="0.25">
      <c r="A33" s="168" t="s">
        <v>174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159.18184797116919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159.18184797116919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174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158.38593873131322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158.38593873131322</v>
      </c>
      <c r="G34" s="168">
        <f ca="1">IF($C34-G$1&lt;År1,0,F33*(1-VLOOKUP($A34,[1]Hugst!$R$5:$W$9,MATCH(ROUNDUP((G$1)/10,0)*10,[1]Hugst!$R$4:$W$4,0))))</f>
        <v>159.18184797116919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174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157.59400903765709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157.59400903765709</v>
      </c>
      <c r="G35" s="168">
        <f ca="1">IF($C35-G$1&lt;År1,0,F34*(1-VLOOKUP($A35,[1]Hugst!$R$5:$W$9,MATCH(ROUNDUP((G$1)/10,0)*10,[1]Hugst!$R$4:$W$4,0))))</f>
        <v>158.38593873131322</v>
      </c>
      <c r="H35" s="168">
        <f ca="1">IF($C35-H$1&lt;År1,0,G34*(1-VLOOKUP($A35,[1]Hugst!$R$5:$W$9,MATCH(ROUNDUP((H$1)/10,0)*10,[1]Hugst!$R$4:$W$4,0))))</f>
        <v>159.18184797116919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174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156.80603899246489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156.80603899246489</v>
      </c>
      <c r="G36" s="168">
        <f ca="1">IF($C36-G$1&lt;År1,0,F35*(1-VLOOKUP($A36,[1]Hugst!$R$5:$W$9,MATCH(ROUNDUP((G$1)/10,0)*10,[1]Hugst!$R$4:$W$4,0))))</f>
        <v>157.59400903765709</v>
      </c>
      <c r="H36" s="168">
        <f ca="1">IF($C36-H$1&lt;År1,0,G35*(1-VLOOKUP($A36,[1]Hugst!$R$5:$W$9,MATCH(ROUNDUP((H$1)/10,0)*10,[1]Hugst!$R$4:$W$4,0))))</f>
        <v>158.38593873131322</v>
      </c>
      <c r="I36" s="168">
        <f ca="1">IF($C36-I$1&lt;År1,0,H35*(1-VLOOKUP($A36,[1]Hugst!$R$5:$W$9,MATCH(ROUNDUP((I$1)/10,0)*10,[1]Hugst!$R$4:$W$4,0))))</f>
        <v>159.18184797116919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174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156.02200879750671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156.02200879750671</v>
      </c>
      <c r="G37" s="168">
        <f ca="1">IF($C37-G$1&lt;År1,0,F36*(1-VLOOKUP($A37,[1]Hugst!$R$5:$W$9,MATCH(ROUNDUP((G$1)/10,0)*10,[1]Hugst!$R$4:$W$4,0))))</f>
        <v>156.80603899246489</v>
      </c>
      <c r="H37" s="168">
        <f ca="1">IF($C37-H$1&lt;År1,0,G36*(1-VLOOKUP($A37,[1]Hugst!$R$5:$W$9,MATCH(ROUNDUP((H$1)/10,0)*10,[1]Hugst!$R$4:$W$4,0))))</f>
        <v>157.59400903765709</v>
      </c>
      <c r="I37" s="168">
        <f ca="1">IF($C37-I$1&lt;År1,0,H36*(1-VLOOKUP($A37,[1]Hugst!$R$5:$W$9,MATCH(ROUNDUP((I$1)/10,0)*10,[1]Hugst!$R$4:$W$4,0))))</f>
        <v>158.38593873131322</v>
      </c>
      <c r="J37" s="168">
        <f ca="1">IF($C37-J$1&lt;År1,0,I36*(1-VLOOKUP($A37,[1]Hugst!$R$5:$W$9,MATCH(ROUNDUP((J$1)/10,0)*10,[1]Hugst!$R$4:$W$4,0))))</f>
        <v>159.18184797116919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174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155.24189875351658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155.24189875351658</v>
      </c>
      <c r="G38" s="168">
        <f ca="1">IF($C38-G$1&lt;År1,0,F37*(1-VLOOKUP($A38,[1]Hugst!$R$5:$W$9,MATCH(ROUNDUP((G$1)/10,0)*10,[1]Hugst!$R$4:$W$4,0))))</f>
        <v>156.02200879750671</v>
      </c>
      <c r="H38" s="168">
        <f ca="1">IF($C38-H$1&lt;År1,0,G37*(1-VLOOKUP($A38,[1]Hugst!$R$5:$W$9,MATCH(ROUNDUP((H$1)/10,0)*10,[1]Hugst!$R$4:$W$4,0))))</f>
        <v>156.80603899246489</v>
      </c>
      <c r="I38" s="168">
        <f ca="1">IF($C38-I$1&lt;År1,0,H37*(1-VLOOKUP($A38,[1]Hugst!$R$5:$W$9,MATCH(ROUNDUP((I$1)/10,0)*10,[1]Hugst!$R$4:$W$4,0))))</f>
        <v>157.59400903765709</v>
      </c>
      <c r="J38" s="168">
        <f ca="1">IF($C38-J$1&lt;År1,0,I37*(1-VLOOKUP($A38,[1]Hugst!$R$5:$W$9,MATCH(ROUNDUP((J$1)/10,0)*10,[1]Hugst!$R$4:$W$4,0))))</f>
        <v>158.38593873131322</v>
      </c>
      <c r="K38" s="168">
        <f ca="1">IF($C38-K$1&lt;År1,0,J37*(1-VLOOKUP($A38,[1]Hugst!$R$5:$W$9,MATCH(ROUNDUP((K$1)/10,0)*10,[1]Hugst!$R$4:$W$4,0))))</f>
        <v>159.18184797116919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174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154.46568925975589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154.46568925975589</v>
      </c>
      <c r="G39" s="168">
        <f ca="1">IF($C39-G$1&lt;År1,0,F38*(1-VLOOKUP($A39,[1]Hugst!$R$5:$W$9,MATCH(ROUNDUP((G$1)/10,0)*10,[1]Hugst!$R$4:$W$4,0))))</f>
        <v>155.24189875351658</v>
      </c>
      <c r="H39" s="168">
        <f ca="1">IF($C39-H$1&lt;År1,0,G38*(1-VLOOKUP($A39,[1]Hugst!$R$5:$W$9,MATCH(ROUNDUP((H$1)/10,0)*10,[1]Hugst!$R$4:$W$4,0))))</f>
        <v>156.02200879750671</v>
      </c>
      <c r="I39" s="168">
        <f ca="1">IF($C39-I$1&lt;År1,0,H38*(1-VLOOKUP($A39,[1]Hugst!$R$5:$W$9,MATCH(ROUNDUP((I$1)/10,0)*10,[1]Hugst!$R$4:$W$4,0))))</f>
        <v>156.80603899246489</v>
      </c>
      <c r="J39" s="168">
        <f ca="1">IF($C39-J$1&lt;År1,0,I38*(1-VLOOKUP($A39,[1]Hugst!$R$5:$W$9,MATCH(ROUNDUP((J$1)/10,0)*10,[1]Hugst!$R$4:$W$4,0))))</f>
        <v>157.59400903765709</v>
      </c>
      <c r="K39" s="168">
        <f ca="1">IF($C39-K$1&lt;År1,0,J38*(1-VLOOKUP($A39,[1]Hugst!$R$5:$W$9,MATCH(ROUNDUP((K$1)/10,0)*10,[1]Hugst!$R$4:$W$4,0))))</f>
        <v>158.38593873131322</v>
      </c>
      <c r="L39" s="168">
        <f ca="1">IF($C39-L$1&lt;År1,0,K38*(1-VLOOKUP($A39,[1]Hugst!$R$5:$W$9,MATCH(ROUNDUP((L$1)/10,0)*10,[1]Hugst!$R$4:$W$4,0))))</f>
        <v>159.18184797116919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174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153.69336081344954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153.69336081344954</v>
      </c>
      <c r="G40" s="168">
        <f ca="1">IF($C40-G$1&lt;År1,0,F39*(1-VLOOKUP($A40,[1]Hugst!$R$5:$W$9,MATCH(ROUNDUP((G$1)/10,0)*10,[1]Hugst!$R$4:$W$4,0))))</f>
        <v>154.46568925975589</v>
      </c>
      <c r="H40" s="168">
        <f ca="1">IF($C40-H$1&lt;År1,0,G39*(1-VLOOKUP($A40,[1]Hugst!$R$5:$W$9,MATCH(ROUNDUP((H$1)/10,0)*10,[1]Hugst!$R$4:$W$4,0))))</f>
        <v>155.24189875351658</v>
      </c>
      <c r="I40" s="168">
        <f ca="1">IF($C40-I$1&lt;År1,0,H39*(1-VLOOKUP($A40,[1]Hugst!$R$5:$W$9,MATCH(ROUNDUP((I$1)/10,0)*10,[1]Hugst!$R$4:$W$4,0))))</f>
        <v>156.02200879750671</v>
      </c>
      <c r="J40" s="168">
        <f ca="1">IF($C40-J$1&lt;År1,0,I39*(1-VLOOKUP($A40,[1]Hugst!$R$5:$W$9,MATCH(ROUNDUP((J$1)/10,0)*10,[1]Hugst!$R$4:$W$4,0))))</f>
        <v>156.80603899246489</v>
      </c>
      <c r="K40" s="168">
        <f ca="1">IF($C40-K$1&lt;År1,0,J39*(1-VLOOKUP($A40,[1]Hugst!$R$5:$W$9,MATCH(ROUNDUP((K$1)/10,0)*10,[1]Hugst!$R$4:$W$4,0))))</f>
        <v>157.59400903765709</v>
      </c>
      <c r="L40" s="168">
        <f ca="1">IF($C40-L$1&lt;År1,0,K39*(1-VLOOKUP($A40,[1]Hugst!$R$5:$W$9,MATCH(ROUNDUP((L$1)/10,0)*10,[1]Hugst!$R$4:$W$4,0))))</f>
        <v>158.38593873131322</v>
      </c>
      <c r="M40" s="168">
        <f ca="1">IF($C40-M$1&lt;År1,0,L39*(1-VLOOKUP($A40,[1]Hugst!$R$5:$W$9,MATCH(ROUNDUP((M$1)/10,0)*10,[1]Hugst!$R$4:$W$4,0))))</f>
        <v>159.18184797116919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174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152.92489400938575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152.92489400938575</v>
      </c>
      <c r="G41" s="168">
        <f ca="1">IF($C41-G$1&lt;År1,0,F40*(1-VLOOKUP($A41,[1]Hugst!$R$5:$W$9,MATCH(ROUNDUP((G$1)/10,0)*10,[1]Hugst!$R$4:$W$4,0))))</f>
        <v>153.69336081344954</v>
      </c>
      <c r="H41" s="168">
        <f ca="1">IF($C41-H$1&lt;År1,0,G40*(1-VLOOKUP($A41,[1]Hugst!$R$5:$W$9,MATCH(ROUNDUP((H$1)/10,0)*10,[1]Hugst!$R$4:$W$4,0))))</f>
        <v>154.46568925975589</v>
      </c>
      <c r="I41" s="168">
        <f ca="1">IF($C41-I$1&lt;År1,0,H40*(1-VLOOKUP($A41,[1]Hugst!$R$5:$W$9,MATCH(ROUNDUP((I$1)/10,0)*10,[1]Hugst!$R$4:$W$4,0))))</f>
        <v>155.24189875351658</v>
      </c>
      <c r="J41" s="168">
        <f ca="1">IF($C41-J$1&lt;År1,0,I40*(1-VLOOKUP($A41,[1]Hugst!$R$5:$W$9,MATCH(ROUNDUP((J$1)/10,0)*10,[1]Hugst!$R$4:$W$4,0))))</f>
        <v>156.02200879750671</v>
      </c>
      <c r="K41" s="168">
        <f ca="1">IF($C41-K$1&lt;År1,0,J40*(1-VLOOKUP($A41,[1]Hugst!$R$5:$W$9,MATCH(ROUNDUP((K$1)/10,0)*10,[1]Hugst!$R$4:$W$4,0))))</f>
        <v>156.80603899246489</v>
      </c>
      <c r="L41" s="168">
        <f ca="1">IF($C41-L$1&lt;År1,0,K40*(1-VLOOKUP($A41,[1]Hugst!$R$5:$W$9,MATCH(ROUNDUP((L$1)/10,0)*10,[1]Hugst!$R$4:$W$4,0))))</f>
        <v>157.59400903765709</v>
      </c>
      <c r="M41" s="168">
        <f ca="1">IF($C41-M$1&lt;År1,0,L40*(1-VLOOKUP($A41,[1]Hugst!$R$5:$W$9,MATCH(ROUNDUP((M$1)/10,0)*10,[1]Hugst!$R$4:$W$4,0))))</f>
        <v>158.38593873131322</v>
      </c>
      <c r="N41" s="168">
        <f ca="1">IF($C41-N$1&lt;År1,0,M40*(1-VLOOKUP($A41,[1]Hugst!$R$5:$W$9,MATCH(ROUNDUP((N$1)/10,0)*10,[1]Hugst!$R$4:$W$4,0))))</f>
        <v>159.18184797116919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174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152.16026953933761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152.16026953933761</v>
      </c>
      <c r="G42" s="168">
        <f ca="1">IF($C42-G$1&lt;År1,0,F41*(1-VLOOKUP($A42,[1]Hugst!$R$5:$W$9,MATCH(ROUNDUP((G$1)/10,0)*10,[1]Hugst!$R$4:$W$4,0))))</f>
        <v>152.92489400938575</v>
      </c>
      <c r="H42" s="168">
        <f ca="1">IF($C42-H$1&lt;År1,0,G41*(1-VLOOKUP($A42,[1]Hugst!$R$5:$W$9,MATCH(ROUNDUP((H$1)/10,0)*10,[1]Hugst!$R$4:$W$4,0))))</f>
        <v>153.69336081344954</v>
      </c>
      <c r="I42" s="168">
        <f ca="1">IF($C42-I$1&lt;År1,0,H41*(1-VLOOKUP($A42,[1]Hugst!$R$5:$W$9,MATCH(ROUNDUP((I$1)/10,0)*10,[1]Hugst!$R$4:$W$4,0))))</f>
        <v>154.46568925975589</v>
      </c>
      <c r="J42" s="168">
        <f ca="1">IF($C42-J$1&lt;År1,0,I41*(1-VLOOKUP($A42,[1]Hugst!$R$5:$W$9,MATCH(ROUNDUP((J$1)/10,0)*10,[1]Hugst!$R$4:$W$4,0))))</f>
        <v>155.24189875351658</v>
      </c>
      <c r="K42" s="168">
        <f ca="1">IF($C42-K$1&lt;År1,0,J41*(1-VLOOKUP($A42,[1]Hugst!$R$5:$W$9,MATCH(ROUNDUP((K$1)/10,0)*10,[1]Hugst!$R$4:$W$4,0))))</f>
        <v>156.02200879750671</v>
      </c>
      <c r="L42" s="168">
        <f ca="1">IF($C42-L$1&lt;År1,0,K41*(1-VLOOKUP($A42,[1]Hugst!$R$5:$W$9,MATCH(ROUNDUP((L$1)/10,0)*10,[1]Hugst!$R$4:$W$4,0))))</f>
        <v>156.80603899246489</v>
      </c>
      <c r="M42" s="168">
        <f ca="1">IF($C42-M$1&lt;År1,0,L41*(1-VLOOKUP($A42,[1]Hugst!$R$5:$W$9,MATCH(ROUNDUP((M$1)/10,0)*10,[1]Hugst!$R$4:$W$4,0))))</f>
        <v>157.59400903765709</v>
      </c>
      <c r="N42" s="168">
        <f ca="1">IF($C42-N$1&lt;År1,0,M41*(1-VLOOKUP($A42,[1]Hugst!$R$5:$W$9,MATCH(ROUNDUP((N$1)/10,0)*10,[1]Hugst!$R$4:$W$4,0))))</f>
        <v>158.38593873131322</v>
      </c>
      <c r="O42" s="168">
        <f ca="1">IF($C42-O$1&lt;År1,0,N41*(1-VLOOKUP($A42,[1]Hugst!$R$5:$W$9,MATCH(ROUNDUP((O$1)/10,0)*10,[1]Hugst!$R$4:$W$4,0))))</f>
        <v>159.18184797116919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174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151.3994681916447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151.3994681916447</v>
      </c>
      <c r="G43" s="168">
        <f ca="1">IF($C43-G$1&lt;År1,0,F42*(1-VLOOKUP($A43,[1]Hugst!$R$5:$W$9,MATCH(ROUNDUP((G$1)/10,0)*10,[1]Hugst!$R$4:$W$4,0))))</f>
        <v>152.16026953933761</v>
      </c>
      <c r="H43" s="168">
        <f ca="1">IF($C43-H$1&lt;År1,0,G42*(1-VLOOKUP($A43,[1]Hugst!$R$5:$W$9,MATCH(ROUNDUP((H$1)/10,0)*10,[1]Hugst!$R$4:$W$4,0))))</f>
        <v>152.92489400938575</v>
      </c>
      <c r="I43" s="168">
        <f ca="1">IF($C43-I$1&lt;År1,0,H42*(1-VLOOKUP($A43,[1]Hugst!$R$5:$W$9,MATCH(ROUNDUP((I$1)/10,0)*10,[1]Hugst!$R$4:$W$4,0))))</f>
        <v>153.69336081344954</v>
      </c>
      <c r="J43" s="168">
        <f ca="1">IF($C43-J$1&lt;År1,0,I42*(1-VLOOKUP($A43,[1]Hugst!$R$5:$W$9,MATCH(ROUNDUP((J$1)/10,0)*10,[1]Hugst!$R$4:$W$4,0))))</f>
        <v>154.46568925975589</v>
      </c>
      <c r="K43" s="168">
        <f ca="1">IF($C43-K$1&lt;År1,0,J42*(1-VLOOKUP($A43,[1]Hugst!$R$5:$W$9,MATCH(ROUNDUP((K$1)/10,0)*10,[1]Hugst!$R$4:$W$4,0))))</f>
        <v>155.24189875351658</v>
      </c>
      <c r="L43" s="168">
        <f ca="1">IF($C43-L$1&lt;År1,0,K42*(1-VLOOKUP($A43,[1]Hugst!$R$5:$W$9,MATCH(ROUNDUP((L$1)/10,0)*10,[1]Hugst!$R$4:$W$4,0))))</f>
        <v>156.02200879750671</v>
      </c>
      <c r="M43" s="168">
        <f ca="1">IF($C43-M$1&lt;År1,0,L42*(1-VLOOKUP($A43,[1]Hugst!$R$5:$W$9,MATCH(ROUNDUP((M$1)/10,0)*10,[1]Hugst!$R$4:$W$4,0))))</f>
        <v>156.80603899246489</v>
      </c>
      <c r="N43" s="168">
        <f ca="1">IF($C43-N$1&lt;År1,0,M42*(1-VLOOKUP($A43,[1]Hugst!$R$5:$W$9,MATCH(ROUNDUP((N$1)/10,0)*10,[1]Hugst!$R$4:$W$4,0))))</f>
        <v>157.59400903765709</v>
      </c>
      <c r="O43" s="168">
        <f ca="1">IF($C43-O$1&lt;År1,0,N42*(1-VLOOKUP($A43,[1]Hugst!$R$5:$W$9,MATCH(ROUNDUP((O$1)/10,0)*10,[1]Hugst!$R$4:$W$4,0))))</f>
        <v>158.38593873131322</v>
      </c>
      <c r="P43" s="168">
        <f ca="1">IF($C43-P$1&lt;År1,0,O42*(1-VLOOKUP($A43,[1]Hugst!$R$5:$W$9,MATCH(ROUNDUP((P$1)/10,0)*10,[1]Hugst!$R$4:$W$4,0))))</f>
        <v>159.18184797116919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174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150.64247085067836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150.64247085067836</v>
      </c>
      <c r="G44" s="168">
        <f ca="1">IF($C44-G$1&lt;År1,0,F43*(1-VLOOKUP($A44,[1]Hugst!$R$5:$W$9,MATCH(ROUNDUP((G$1)/10,0)*10,[1]Hugst!$R$4:$W$4,0))))</f>
        <v>151.3994681916447</v>
      </c>
      <c r="H44" s="168">
        <f ca="1">IF($C44-H$1&lt;År1,0,G43*(1-VLOOKUP($A44,[1]Hugst!$R$5:$W$9,MATCH(ROUNDUP((H$1)/10,0)*10,[1]Hugst!$R$4:$W$4,0))))</f>
        <v>152.16026953933761</v>
      </c>
      <c r="I44" s="168">
        <f ca="1">IF($C44-I$1&lt;År1,0,H43*(1-VLOOKUP($A44,[1]Hugst!$R$5:$W$9,MATCH(ROUNDUP((I$1)/10,0)*10,[1]Hugst!$R$4:$W$4,0))))</f>
        <v>152.92489400938575</v>
      </c>
      <c r="J44" s="168">
        <f ca="1">IF($C44-J$1&lt;År1,0,I43*(1-VLOOKUP($A44,[1]Hugst!$R$5:$W$9,MATCH(ROUNDUP((J$1)/10,0)*10,[1]Hugst!$R$4:$W$4,0))))</f>
        <v>153.69336081344954</v>
      </c>
      <c r="K44" s="168">
        <f ca="1">IF($C44-K$1&lt;År1,0,J43*(1-VLOOKUP($A44,[1]Hugst!$R$5:$W$9,MATCH(ROUNDUP((K$1)/10,0)*10,[1]Hugst!$R$4:$W$4,0))))</f>
        <v>154.46568925975589</v>
      </c>
      <c r="L44" s="168">
        <f ca="1">IF($C44-L$1&lt;År1,0,K43*(1-VLOOKUP($A44,[1]Hugst!$R$5:$W$9,MATCH(ROUNDUP((L$1)/10,0)*10,[1]Hugst!$R$4:$W$4,0))))</f>
        <v>155.24189875351658</v>
      </c>
      <c r="M44" s="168">
        <f ca="1">IF($C44-M$1&lt;År1,0,L43*(1-VLOOKUP($A44,[1]Hugst!$R$5:$W$9,MATCH(ROUNDUP((M$1)/10,0)*10,[1]Hugst!$R$4:$W$4,0))))</f>
        <v>156.02200879750671</v>
      </c>
      <c r="N44" s="168">
        <f ca="1">IF($C44-N$1&lt;År1,0,M43*(1-VLOOKUP($A44,[1]Hugst!$R$5:$W$9,MATCH(ROUNDUP((N$1)/10,0)*10,[1]Hugst!$R$4:$W$4,0))))</f>
        <v>156.80603899246489</v>
      </c>
      <c r="O44" s="168">
        <f ca="1">IF($C44-O$1&lt;År1,0,N43*(1-VLOOKUP($A44,[1]Hugst!$R$5:$W$9,MATCH(ROUNDUP((O$1)/10,0)*10,[1]Hugst!$R$4:$W$4,0))))</f>
        <v>157.59400903765709</v>
      </c>
      <c r="P44" s="168">
        <f ca="1">IF($C44-P$1&lt;År1,0,O43*(1-VLOOKUP($A44,[1]Hugst!$R$5:$W$9,MATCH(ROUNDUP((P$1)/10,0)*10,[1]Hugst!$R$4:$W$4,0))))</f>
        <v>158.38593873131322</v>
      </c>
      <c r="Q44" s="168">
        <f ca="1">IF($C44-Q$1&lt;År1,0,P43*(1-VLOOKUP($A44,[1]Hugst!$R$5:$W$9,MATCH(ROUNDUP((Q$1)/10,0)*10,[1]Hugst!$R$4:$W$4,0))))</f>
        <v>159.18184797116919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174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149.88925849643056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149.88925849643056</v>
      </c>
      <c r="G45" s="168">
        <f ca="1">IF($C45-G$1&lt;År1,0,F44*(1-VLOOKUP($A45,[1]Hugst!$R$5:$W$9,MATCH(ROUNDUP((G$1)/10,0)*10,[1]Hugst!$R$4:$W$4,0))))</f>
        <v>150.64247085067836</v>
      </c>
      <c r="H45" s="168">
        <f ca="1">IF($C45-H$1&lt;År1,0,G44*(1-VLOOKUP($A45,[1]Hugst!$R$5:$W$9,MATCH(ROUNDUP((H$1)/10,0)*10,[1]Hugst!$R$4:$W$4,0))))</f>
        <v>151.3994681916447</v>
      </c>
      <c r="I45" s="168">
        <f ca="1">IF($C45-I$1&lt;År1,0,H44*(1-VLOOKUP($A45,[1]Hugst!$R$5:$W$9,MATCH(ROUNDUP((I$1)/10,0)*10,[1]Hugst!$R$4:$W$4,0))))</f>
        <v>152.16026953933761</v>
      </c>
      <c r="J45" s="168">
        <f ca="1">IF($C45-J$1&lt;År1,0,I44*(1-VLOOKUP($A45,[1]Hugst!$R$5:$W$9,MATCH(ROUNDUP((J$1)/10,0)*10,[1]Hugst!$R$4:$W$4,0))))</f>
        <v>152.92489400938575</v>
      </c>
      <c r="K45" s="168">
        <f ca="1">IF($C45-K$1&lt;År1,0,J44*(1-VLOOKUP($A45,[1]Hugst!$R$5:$W$9,MATCH(ROUNDUP((K$1)/10,0)*10,[1]Hugst!$R$4:$W$4,0))))</f>
        <v>153.69336081344954</v>
      </c>
      <c r="L45" s="168">
        <f ca="1">IF($C45-L$1&lt;År1,0,K44*(1-VLOOKUP($A45,[1]Hugst!$R$5:$W$9,MATCH(ROUNDUP((L$1)/10,0)*10,[1]Hugst!$R$4:$W$4,0))))</f>
        <v>154.46568925975589</v>
      </c>
      <c r="M45" s="168">
        <f ca="1">IF($C45-M$1&lt;År1,0,L44*(1-VLOOKUP($A45,[1]Hugst!$R$5:$W$9,MATCH(ROUNDUP((M$1)/10,0)*10,[1]Hugst!$R$4:$W$4,0))))</f>
        <v>155.24189875351658</v>
      </c>
      <c r="N45" s="168">
        <f ca="1">IF($C45-N$1&lt;År1,0,M44*(1-VLOOKUP($A45,[1]Hugst!$R$5:$W$9,MATCH(ROUNDUP((N$1)/10,0)*10,[1]Hugst!$R$4:$W$4,0))))</f>
        <v>156.02200879750671</v>
      </c>
      <c r="O45" s="168">
        <f ca="1">IF($C45-O$1&lt;År1,0,N44*(1-VLOOKUP($A45,[1]Hugst!$R$5:$W$9,MATCH(ROUNDUP((O$1)/10,0)*10,[1]Hugst!$R$4:$W$4,0))))</f>
        <v>156.80603899246489</v>
      </c>
      <c r="P45" s="168">
        <f ca="1">IF($C45-P$1&lt;År1,0,O44*(1-VLOOKUP($A45,[1]Hugst!$R$5:$W$9,MATCH(ROUNDUP((P$1)/10,0)*10,[1]Hugst!$R$4:$W$4,0))))</f>
        <v>157.59400903765709</v>
      </c>
      <c r="Q45" s="168">
        <f ca="1">IF($C45-Q$1&lt;År1,0,P44*(1-VLOOKUP($A45,[1]Hugst!$R$5:$W$9,MATCH(ROUNDUP((Q$1)/10,0)*10,[1]Hugst!$R$4:$W$4,0))))</f>
        <v>158.38593873131322</v>
      </c>
      <c r="R45" s="168">
        <f ca="1">IF($C45-R$1&lt;År1,0,Q44*(1-VLOOKUP($A45,[1]Hugst!$R$5:$W$9,MATCH(ROUNDUP((R$1)/10,0)*10,[1]Hugst!$R$4:$W$4,0))))</f>
        <v>159.18184797116919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174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149.13981220394635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149.13981220394635</v>
      </c>
      <c r="G46" s="168">
        <f ca="1">IF($C46-G$1&lt;År1,0,F45*(1-VLOOKUP($A46,[1]Hugst!$R$5:$W$9,MATCH(ROUNDUP((G$1)/10,0)*10,[1]Hugst!$R$4:$W$4,0))))</f>
        <v>149.88925849643056</v>
      </c>
      <c r="H46" s="168">
        <f ca="1">IF($C46-H$1&lt;År1,0,G45*(1-VLOOKUP($A46,[1]Hugst!$R$5:$W$9,MATCH(ROUNDUP((H$1)/10,0)*10,[1]Hugst!$R$4:$W$4,0))))</f>
        <v>150.64247085067836</v>
      </c>
      <c r="I46" s="168">
        <f ca="1">IF($C46-I$1&lt;År1,0,H45*(1-VLOOKUP($A46,[1]Hugst!$R$5:$W$9,MATCH(ROUNDUP((I$1)/10,0)*10,[1]Hugst!$R$4:$W$4,0))))</f>
        <v>151.3994681916447</v>
      </c>
      <c r="J46" s="168">
        <f ca="1">IF($C46-J$1&lt;År1,0,I45*(1-VLOOKUP($A46,[1]Hugst!$R$5:$W$9,MATCH(ROUNDUP((J$1)/10,0)*10,[1]Hugst!$R$4:$W$4,0))))</f>
        <v>152.16026953933761</v>
      </c>
      <c r="K46" s="168">
        <f ca="1">IF($C46-K$1&lt;År1,0,J45*(1-VLOOKUP($A46,[1]Hugst!$R$5:$W$9,MATCH(ROUNDUP((K$1)/10,0)*10,[1]Hugst!$R$4:$W$4,0))))</f>
        <v>152.92489400938575</v>
      </c>
      <c r="L46" s="168">
        <f ca="1">IF($C46-L$1&lt;År1,0,K45*(1-VLOOKUP($A46,[1]Hugst!$R$5:$W$9,MATCH(ROUNDUP((L$1)/10,0)*10,[1]Hugst!$R$4:$W$4,0))))</f>
        <v>153.69336081344954</v>
      </c>
      <c r="M46" s="168">
        <f ca="1">IF($C46-M$1&lt;År1,0,L45*(1-VLOOKUP($A46,[1]Hugst!$R$5:$W$9,MATCH(ROUNDUP((M$1)/10,0)*10,[1]Hugst!$R$4:$W$4,0))))</f>
        <v>154.46568925975589</v>
      </c>
      <c r="N46" s="168">
        <f ca="1">IF($C46-N$1&lt;År1,0,M45*(1-VLOOKUP($A46,[1]Hugst!$R$5:$W$9,MATCH(ROUNDUP((N$1)/10,0)*10,[1]Hugst!$R$4:$W$4,0))))</f>
        <v>155.24189875351658</v>
      </c>
      <c r="O46" s="168">
        <f ca="1">IF($C46-O$1&lt;År1,0,N45*(1-VLOOKUP($A46,[1]Hugst!$R$5:$W$9,MATCH(ROUNDUP((O$1)/10,0)*10,[1]Hugst!$R$4:$W$4,0))))</f>
        <v>156.02200879750671</v>
      </c>
      <c r="P46" s="168">
        <f ca="1">IF($C46-P$1&lt;År1,0,O45*(1-VLOOKUP($A46,[1]Hugst!$R$5:$W$9,MATCH(ROUNDUP((P$1)/10,0)*10,[1]Hugst!$R$4:$W$4,0))))</f>
        <v>156.80603899246489</v>
      </c>
      <c r="Q46" s="168">
        <f ca="1">IF($C46-Q$1&lt;År1,0,P45*(1-VLOOKUP($A46,[1]Hugst!$R$5:$W$9,MATCH(ROUNDUP((Q$1)/10,0)*10,[1]Hugst!$R$4:$W$4,0))))</f>
        <v>157.59400903765709</v>
      </c>
      <c r="R46" s="168">
        <f ca="1">IF($C46-R$1&lt;År1,0,Q45*(1-VLOOKUP($A46,[1]Hugst!$R$5:$W$9,MATCH(ROUNDUP((R$1)/10,0)*10,[1]Hugst!$R$4:$W$4,0))))</f>
        <v>158.38593873131322</v>
      </c>
      <c r="S46" s="168">
        <f ca="1">IF($C46-S$1&lt;År1,0,R45*(1-VLOOKUP($A46,[1]Hugst!$R$5:$W$9,MATCH(ROUNDUP((S$1)/10,0)*10,[1]Hugst!$R$4:$W$4,0))))</f>
        <v>159.18184797116919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174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148.39411314292738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148.39411314292738</v>
      </c>
      <c r="G47" s="168">
        <f ca="1">IF($C47-G$1&lt;År1,0,F46*(1-VLOOKUP($A47,[1]Hugst!$R$5:$W$9,MATCH(ROUNDUP((G$1)/10,0)*10,[1]Hugst!$R$4:$W$4,0))))</f>
        <v>149.13981220394635</v>
      </c>
      <c r="H47" s="168">
        <f ca="1">IF($C47-H$1&lt;År1,0,G46*(1-VLOOKUP($A47,[1]Hugst!$R$5:$W$9,MATCH(ROUNDUP((H$1)/10,0)*10,[1]Hugst!$R$4:$W$4,0))))</f>
        <v>149.88925849643056</v>
      </c>
      <c r="I47" s="168">
        <f ca="1">IF($C47-I$1&lt;År1,0,H46*(1-VLOOKUP($A47,[1]Hugst!$R$5:$W$9,MATCH(ROUNDUP((I$1)/10,0)*10,[1]Hugst!$R$4:$W$4,0))))</f>
        <v>150.64247085067836</v>
      </c>
      <c r="J47" s="168">
        <f ca="1">IF($C47-J$1&lt;År1,0,I46*(1-VLOOKUP($A47,[1]Hugst!$R$5:$W$9,MATCH(ROUNDUP((J$1)/10,0)*10,[1]Hugst!$R$4:$W$4,0))))</f>
        <v>151.3994681916447</v>
      </c>
      <c r="K47" s="168">
        <f ca="1">IF($C47-K$1&lt;År1,0,J46*(1-VLOOKUP($A47,[1]Hugst!$R$5:$W$9,MATCH(ROUNDUP((K$1)/10,0)*10,[1]Hugst!$R$4:$W$4,0))))</f>
        <v>152.16026953933761</v>
      </c>
      <c r="L47" s="168">
        <f ca="1">IF($C47-L$1&lt;År1,0,K46*(1-VLOOKUP($A47,[1]Hugst!$R$5:$W$9,MATCH(ROUNDUP((L$1)/10,0)*10,[1]Hugst!$R$4:$W$4,0))))</f>
        <v>152.92489400938575</v>
      </c>
      <c r="M47" s="168">
        <f ca="1">IF($C47-M$1&lt;År1,0,L46*(1-VLOOKUP($A47,[1]Hugst!$R$5:$W$9,MATCH(ROUNDUP((M$1)/10,0)*10,[1]Hugst!$R$4:$W$4,0))))</f>
        <v>153.69336081344954</v>
      </c>
      <c r="N47" s="168">
        <f ca="1">IF($C47-N$1&lt;År1,0,M46*(1-VLOOKUP($A47,[1]Hugst!$R$5:$W$9,MATCH(ROUNDUP((N$1)/10,0)*10,[1]Hugst!$R$4:$W$4,0))))</f>
        <v>154.46568925975589</v>
      </c>
      <c r="O47" s="168">
        <f ca="1">IF($C47-O$1&lt;År1,0,N46*(1-VLOOKUP($A47,[1]Hugst!$R$5:$W$9,MATCH(ROUNDUP((O$1)/10,0)*10,[1]Hugst!$R$4:$W$4,0))))</f>
        <v>155.24189875351658</v>
      </c>
      <c r="P47" s="168">
        <f ca="1">IF($C47-P$1&lt;År1,0,O46*(1-VLOOKUP($A47,[1]Hugst!$R$5:$W$9,MATCH(ROUNDUP((P$1)/10,0)*10,[1]Hugst!$R$4:$W$4,0))))</f>
        <v>156.02200879750671</v>
      </c>
      <c r="Q47" s="168">
        <f ca="1">IF($C47-Q$1&lt;År1,0,P46*(1-VLOOKUP($A47,[1]Hugst!$R$5:$W$9,MATCH(ROUNDUP((Q$1)/10,0)*10,[1]Hugst!$R$4:$W$4,0))))</f>
        <v>156.80603899246489</v>
      </c>
      <c r="R47" s="168">
        <f ca="1">IF($C47-R$1&lt;År1,0,Q46*(1-VLOOKUP($A47,[1]Hugst!$R$5:$W$9,MATCH(ROUNDUP((R$1)/10,0)*10,[1]Hugst!$R$4:$W$4,0))))</f>
        <v>157.59400903765709</v>
      </c>
      <c r="S47" s="168">
        <f ca="1">IF($C47-S$1&lt;År1,0,R46*(1-VLOOKUP($A47,[1]Hugst!$R$5:$W$9,MATCH(ROUNDUP((S$1)/10,0)*10,[1]Hugst!$R$4:$W$4,0))))</f>
        <v>158.38593873131322</v>
      </c>
      <c r="T47" s="168">
        <f ca="1">IF($C47-T$1&lt;År1,0,S46*(1-VLOOKUP($A47,[1]Hugst!$R$5:$W$9,MATCH(ROUNDUP((T$1)/10,0)*10,[1]Hugst!$R$4:$W$4,0))))</f>
        <v>159.18184797116919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174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147.65214257721527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147.65214257721527</v>
      </c>
      <c r="G48" s="168">
        <f ca="1">IF($C48-G$1&lt;År1,0,F47*(1-VLOOKUP($A48,[1]Hugst!$R$5:$W$9,MATCH(ROUNDUP((G$1)/10,0)*10,[1]Hugst!$R$4:$W$4,0))))</f>
        <v>148.39411314292738</v>
      </c>
      <c r="H48" s="168">
        <f ca="1">IF($C48-H$1&lt;År1,0,G47*(1-VLOOKUP($A48,[1]Hugst!$R$5:$W$9,MATCH(ROUNDUP((H$1)/10,0)*10,[1]Hugst!$R$4:$W$4,0))))</f>
        <v>149.13981220394635</v>
      </c>
      <c r="I48" s="168">
        <f ca="1">IF($C48-I$1&lt;År1,0,H47*(1-VLOOKUP($A48,[1]Hugst!$R$5:$W$9,MATCH(ROUNDUP((I$1)/10,0)*10,[1]Hugst!$R$4:$W$4,0))))</f>
        <v>149.88925849643056</v>
      </c>
      <c r="J48" s="168">
        <f ca="1">IF($C48-J$1&lt;År1,0,I47*(1-VLOOKUP($A48,[1]Hugst!$R$5:$W$9,MATCH(ROUNDUP((J$1)/10,0)*10,[1]Hugst!$R$4:$W$4,0))))</f>
        <v>150.64247085067836</v>
      </c>
      <c r="K48" s="168">
        <f ca="1">IF($C48-K$1&lt;År1,0,J47*(1-VLOOKUP($A48,[1]Hugst!$R$5:$W$9,MATCH(ROUNDUP((K$1)/10,0)*10,[1]Hugst!$R$4:$W$4,0))))</f>
        <v>151.3994681916447</v>
      </c>
      <c r="L48" s="168">
        <f ca="1">IF($C48-L$1&lt;År1,0,K47*(1-VLOOKUP($A48,[1]Hugst!$R$5:$W$9,MATCH(ROUNDUP((L$1)/10,0)*10,[1]Hugst!$R$4:$W$4,0))))</f>
        <v>152.16026953933761</v>
      </c>
      <c r="M48" s="168">
        <f ca="1">IF($C48-M$1&lt;År1,0,L47*(1-VLOOKUP($A48,[1]Hugst!$R$5:$W$9,MATCH(ROUNDUP((M$1)/10,0)*10,[1]Hugst!$R$4:$W$4,0))))</f>
        <v>152.92489400938575</v>
      </c>
      <c r="N48" s="168">
        <f ca="1">IF($C48-N$1&lt;År1,0,M47*(1-VLOOKUP($A48,[1]Hugst!$R$5:$W$9,MATCH(ROUNDUP((N$1)/10,0)*10,[1]Hugst!$R$4:$W$4,0))))</f>
        <v>153.69336081344954</v>
      </c>
      <c r="O48" s="168">
        <f ca="1">IF($C48-O$1&lt;År1,0,N47*(1-VLOOKUP($A48,[1]Hugst!$R$5:$W$9,MATCH(ROUNDUP((O$1)/10,0)*10,[1]Hugst!$R$4:$W$4,0))))</f>
        <v>154.46568925975589</v>
      </c>
      <c r="P48" s="168">
        <f ca="1">IF($C48-P$1&lt;År1,0,O47*(1-VLOOKUP($A48,[1]Hugst!$R$5:$W$9,MATCH(ROUNDUP((P$1)/10,0)*10,[1]Hugst!$R$4:$W$4,0))))</f>
        <v>155.24189875351658</v>
      </c>
      <c r="Q48" s="168">
        <f ca="1">IF($C48-Q$1&lt;År1,0,P47*(1-VLOOKUP($A48,[1]Hugst!$R$5:$W$9,MATCH(ROUNDUP((Q$1)/10,0)*10,[1]Hugst!$R$4:$W$4,0))))</f>
        <v>156.02200879750671</v>
      </c>
      <c r="R48" s="168">
        <f ca="1">IF($C48-R$1&lt;År1,0,Q47*(1-VLOOKUP($A48,[1]Hugst!$R$5:$W$9,MATCH(ROUNDUP((R$1)/10,0)*10,[1]Hugst!$R$4:$W$4,0))))</f>
        <v>156.80603899246489</v>
      </c>
      <c r="S48" s="168">
        <f ca="1">IF($C48-S$1&lt;År1,0,R47*(1-VLOOKUP($A48,[1]Hugst!$R$5:$W$9,MATCH(ROUNDUP((S$1)/10,0)*10,[1]Hugst!$R$4:$W$4,0))))</f>
        <v>157.59400903765709</v>
      </c>
      <c r="T48" s="168">
        <f ca="1">IF($C48-T$1&lt;År1,0,S47*(1-VLOOKUP($A48,[1]Hugst!$R$5:$W$9,MATCH(ROUNDUP((T$1)/10,0)*10,[1]Hugst!$R$4:$W$4,0))))</f>
        <v>158.38593873131322</v>
      </c>
      <c r="U48" s="168">
        <f ca="1">IF($C48-U$1&lt;År1,0,T47*(1-VLOOKUP($A48,[1]Hugst!$R$5:$W$9,MATCH(ROUNDUP((U$1)/10,0)*10,[1]Hugst!$R$4:$W$4,0))))</f>
        <v>159.18184797116919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174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146.91388186432596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146.91388186432596</v>
      </c>
      <c r="G49" s="168">
        <f ca="1">IF($C49-G$1&lt;År1,0,F48*(1-VLOOKUP($A49,[1]Hugst!$R$5:$W$9,MATCH(ROUNDUP((G$1)/10,0)*10,[1]Hugst!$R$4:$W$4,0))))</f>
        <v>147.65214257721527</v>
      </c>
      <c r="H49" s="168">
        <f ca="1">IF($C49-H$1&lt;År1,0,G48*(1-VLOOKUP($A49,[1]Hugst!$R$5:$W$9,MATCH(ROUNDUP((H$1)/10,0)*10,[1]Hugst!$R$4:$W$4,0))))</f>
        <v>148.39411314292738</v>
      </c>
      <c r="I49" s="168">
        <f ca="1">IF($C49-I$1&lt;År1,0,H48*(1-VLOOKUP($A49,[1]Hugst!$R$5:$W$9,MATCH(ROUNDUP((I$1)/10,0)*10,[1]Hugst!$R$4:$W$4,0))))</f>
        <v>149.13981220394635</v>
      </c>
      <c r="J49" s="168">
        <f ca="1">IF($C49-J$1&lt;År1,0,I48*(1-VLOOKUP($A49,[1]Hugst!$R$5:$W$9,MATCH(ROUNDUP((J$1)/10,0)*10,[1]Hugst!$R$4:$W$4,0))))</f>
        <v>149.88925849643056</v>
      </c>
      <c r="K49" s="168">
        <f ca="1">IF($C49-K$1&lt;År1,0,J48*(1-VLOOKUP($A49,[1]Hugst!$R$5:$W$9,MATCH(ROUNDUP((K$1)/10,0)*10,[1]Hugst!$R$4:$W$4,0))))</f>
        <v>150.64247085067836</v>
      </c>
      <c r="L49" s="168">
        <f ca="1">IF($C49-L$1&lt;År1,0,K48*(1-VLOOKUP($A49,[1]Hugst!$R$5:$W$9,MATCH(ROUNDUP((L$1)/10,0)*10,[1]Hugst!$R$4:$W$4,0))))</f>
        <v>151.3994681916447</v>
      </c>
      <c r="M49" s="168">
        <f ca="1">IF($C49-M$1&lt;År1,0,L48*(1-VLOOKUP($A49,[1]Hugst!$R$5:$W$9,MATCH(ROUNDUP((M$1)/10,0)*10,[1]Hugst!$R$4:$W$4,0))))</f>
        <v>152.16026953933761</v>
      </c>
      <c r="N49" s="168">
        <f ca="1">IF($C49-N$1&lt;År1,0,M48*(1-VLOOKUP($A49,[1]Hugst!$R$5:$W$9,MATCH(ROUNDUP((N$1)/10,0)*10,[1]Hugst!$R$4:$W$4,0))))</f>
        <v>152.92489400938575</v>
      </c>
      <c r="O49" s="168">
        <f ca="1">IF($C49-O$1&lt;År1,0,N48*(1-VLOOKUP($A49,[1]Hugst!$R$5:$W$9,MATCH(ROUNDUP((O$1)/10,0)*10,[1]Hugst!$R$4:$W$4,0))))</f>
        <v>153.69336081344954</v>
      </c>
      <c r="P49" s="168">
        <f ca="1">IF($C49-P$1&lt;År1,0,O48*(1-VLOOKUP($A49,[1]Hugst!$R$5:$W$9,MATCH(ROUNDUP((P$1)/10,0)*10,[1]Hugst!$R$4:$W$4,0))))</f>
        <v>154.46568925975589</v>
      </c>
      <c r="Q49" s="168">
        <f ca="1">IF($C49-Q$1&lt;År1,0,P48*(1-VLOOKUP($A49,[1]Hugst!$R$5:$W$9,MATCH(ROUNDUP((Q$1)/10,0)*10,[1]Hugst!$R$4:$W$4,0))))</f>
        <v>155.24189875351658</v>
      </c>
      <c r="R49" s="168">
        <f ca="1">IF($C49-R$1&lt;År1,0,Q48*(1-VLOOKUP($A49,[1]Hugst!$R$5:$W$9,MATCH(ROUNDUP((R$1)/10,0)*10,[1]Hugst!$R$4:$W$4,0))))</f>
        <v>156.02200879750671</v>
      </c>
      <c r="S49" s="168">
        <f ca="1">IF($C49-S$1&lt;År1,0,R48*(1-VLOOKUP($A49,[1]Hugst!$R$5:$W$9,MATCH(ROUNDUP((S$1)/10,0)*10,[1]Hugst!$R$4:$W$4,0))))</f>
        <v>156.80603899246489</v>
      </c>
      <c r="T49" s="168">
        <f ca="1">IF($C49-T$1&lt;År1,0,S48*(1-VLOOKUP($A49,[1]Hugst!$R$5:$W$9,MATCH(ROUNDUP((T$1)/10,0)*10,[1]Hugst!$R$4:$W$4,0))))</f>
        <v>157.59400903765709</v>
      </c>
      <c r="U49" s="168">
        <f ca="1">IF($C49-U$1&lt;År1,0,T48*(1-VLOOKUP($A49,[1]Hugst!$R$5:$W$9,MATCH(ROUNDUP((U$1)/10,0)*10,[1]Hugst!$R$4:$W$4,0))))</f>
        <v>158.38593873131322</v>
      </c>
      <c r="V49" s="168">
        <f ca="1">IF($C49-V$1&lt;År1,0,U48*(1-VLOOKUP($A49,[1]Hugst!$R$5:$W$9,MATCH(ROUNDUP((V$1)/10,0)*10,[1]Hugst!$R$4:$W$4,0))))</f>
        <v>159.18184797116919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174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146.17931245500586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146.17931245500586</v>
      </c>
      <c r="G50" s="168">
        <f ca="1">IF($C50-G$1&lt;År1,0,F49*(1-VLOOKUP($A50,[1]Hugst!$R$5:$W$9,MATCH(ROUNDUP((G$1)/10,0)*10,[1]Hugst!$R$4:$W$4,0))))</f>
        <v>146.91388186432596</v>
      </c>
      <c r="H50" s="168">
        <f ca="1">IF($C50-H$1&lt;År1,0,G49*(1-VLOOKUP($A50,[1]Hugst!$R$5:$W$9,MATCH(ROUNDUP((H$1)/10,0)*10,[1]Hugst!$R$4:$W$4,0))))</f>
        <v>147.65214257721527</v>
      </c>
      <c r="I50" s="168">
        <f ca="1">IF($C50-I$1&lt;År1,0,H49*(1-VLOOKUP($A50,[1]Hugst!$R$5:$W$9,MATCH(ROUNDUP((I$1)/10,0)*10,[1]Hugst!$R$4:$W$4,0))))</f>
        <v>148.39411314292738</v>
      </c>
      <c r="J50" s="168">
        <f ca="1">IF($C50-J$1&lt;År1,0,I49*(1-VLOOKUP($A50,[1]Hugst!$R$5:$W$9,MATCH(ROUNDUP((J$1)/10,0)*10,[1]Hugst!$R$4:$W$4,0))))</f>
        <v>149.13981220394635</v>
      </c>
      <c r="K50" s="168">
        <f ca="1">IF($C50-K$1&lt;År1,0,J49*(1-VLOOKUP($A50,[1]Hugst!$R$5:$W$9,MATCH(ROUNDUP((K$1)/10,0)*10,[1]Hugst!$R$4:$W$4,0))))</f>
        <v>149.88925849643056</v>
      </c>
      <c r="L50" s="168">
        <f ca="1">IF($C50-L$1&lt;År1,0,K49*(1-VLOOKUP($A50,[1]Hugst!$R$5:$W$9,MATCH(ROUNDUP((L$1)/10,0)*10,[1]Hugst!$R$4:$W$4,0))))</f>
        <v>150.64247085067836</v>
      </c>
      <c r="M50" s="168">
        <f ca="1">IF($C50-M$1&lt;År1,0,L49*(1-VLOOKUP($A50,[1]Hugst!$R$5:$W$9,MATCH(ROUNDUP((M$1)/10,0)*10,[1]Hugst!$R$4:$W$4,0))))</f>
        <v>151.3994681916447</v>
      </c>
      <c r="N50" s="168">
        <f ca="1">IF($C50-N$1&lt;År1,0,M49*(1-VLOOKUP($A50,[1]Hugst!$R$5:$W$9,MATCH(ROUNDUP((N$1)/10,0)*10,[1]Hugst!$R$4:$W$4,0))))</f>
        <v>152.16026953933761</v>
      </c>
      <c r="O50" s="168">
        <f ca="1">IF($C50-O$1&lt;År1,0,N49*(1-VLOOKUP($A50,[1]Hugst!$R$5:$W$9,MATCH(ROUNDUP((O$1)/10,0)*10,[1]Hugst!$R$4:$W$4,0))))</f>
        <v>152.92489400938575</v>
      </c>
      <c r="P50" s="168">
        <f ca="1">IF($C50-P$1&lt;År1,0,O49*(1-VLOOKUP($A50,[1]Hugst!$R$5:$W$9,MATCH(ROUNDUP((P$1)/10,0)*10,[1]Hugst!$R$4:$W$4,0))))</f>
        <v>153.69336081344954</v>
      </c>
      <c r="Q50" s="168">
        <f ca="1">IF($C50-Q$1&lt;År1,0,P49*(1-VLOOKUP($A50,[1]Hugst!$R$5:$W$9,MATCH(ROUNDUP((Q$1)/10,0)*10,[1]Hugst!$R$4:$W$4,0))))</f>
        <v>154.46568925975589</v>
      </c>
      <c r="R50" s="168">
        <f ca="1">IF($C50-R$1&lt;År1,0,Q49*(1-VLOOKUP($A50,[1]Hugst!$R$5:$W$9,MATCH(ROUNDUP((R$1)/10,0)*10,[1]Hugst!$R$4:$W$4,0))))</f>
        <v>155.24189875351658</v>
      </c>
      <c r="S50" s="168">
        <f ca="1">IF($C50-S$1&lt;År1,0,R49*(1-VLOOKUP($A50,[1]Hugst!$R$5:$W$9,MATCH(ROUNDUP((S$1)/10,0)*10,[1]Hugst!$R$4:$W$4,0))))</f>
        <v>156.02200879750671</v>
      </c>
      <c r="T50" s="168">
        <f ca="1">IF($C50-T$1&lt;År1,0,S49*(1-VLOOKUP($A50,[1]Hugst!$R$5:$W$9,MATCH(ROUNDUP((T$1)/10,0)*10,[1]Hugst!$R$4:$W$4,0))))</f>
        <v>156.80603899246489</v>
      </c>
      <c r="U50" s="168">
        <f ca="1">IF($C50-U$1&lt;År1,0,T49*(1-VLOOKUP($A50,[1]Hugst!$R$5:$W$9,MATCH(ROUNDUP((U$1)/10,0)*10,[1]Hugst!$R$4:$W$4,0))))</f>
        <v>157.59400903765709</v>
      </c>
      <c r="V50" s="168">
        <f ca="1">IF($C50-V$1&lt;År1,0,U49*(1-VLOOKUP($A50,[1]Hugst!$R$5:$W$9,MATCH(ROUNDUP((V$1)/10,0)*10,[1]Hugst!$R$4:$W$4,0))))</f>
        <v>158.38593873131322</v>
      </c>
      <c r="W50" s="168">
        <f ca="1">IF($C50-W$1&lt;År1,0,V49*(1-VLOOKUP($A50,[1]Hugst!$R$5:$W$9,MATCH(ROUNDUP((W$1)/10,0)*10,[1]Hugst!$R$4:$W$4,0))))</f>
        <v>159.18184797116919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174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145.44841589273346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145.44841589273346</v>
      </c>
      <c r="G51" s="168">
        <f ca="1">IF($C51-G$1&lt;År1,0,F50*(1-VLOOKUP($A51,[1]Hugst!$R$5:$W$9,MATCH(ROUNDUP((G$1)/10,0)*10,[1]Hugst!$R$4:$W$4,0))))</f>
        <v>146.17931245500586</v>
      </c>
      <c r="H51" s="168">
        <f ca="1">IF($C51-H$1&lt;År1,0,G50*(1-VLOOKUP($A51,[1]Hugst!$R$5:$W$9,MATCH(ROUNDUP((H$1)/10,0)*10,[1]Hugst!$R$4:$W$4,0))))</f>
        <v>146.91388186432596</v>
      </c>
      <c r="I51" s="168">
        <f ca="1">IF($C51-I$1&lt;År1,0,H50*(1-VLOOKUP($A51,[1]Hugst!$R$5:$W$9,MATCH(ROUNDUP((I$1)/10,0)*10,[1]Hugst!$R$4:$W$4,0))))</f>
        <v>147.65214257721527</v>
      </c>
      <c r="J51" s="168">
        <f ca="1">IF($C51-J$1&lt;År1,0,I50*(1-VLOOKUP($A51,[1]Hugst!$R$5:$W$9,MATCH(ROUNDUP((J$1)/10,0)*10,[1]Hugst!$R$4:$W$4,0))))</f>
        <v>148.39411314292738</v>
      </c>
      <c r="K51" s="168">
        <f ca="1">IF($C51-K$1&lt;År1,0,J50*(1-VLOOKUP($A51,[1]Hugst!$R$5:$W$9,MATCH(ROUNDUP((K$1)/10,0)*10,[1]Hugst!$R$4:$W$4,0))))</f>
        <v>149.13981220394635</v>
      </c>
      <c r="L51" s="168">
        <f ca="1">IF($C51-L$1&lt;År1,0,K50*(1-VLOOKUP($A51,[1]Hugst!$R$5:$W$9,MATCH(ROUNDUP((L$1)/10,0)*10,[1]Hugst!$R$4:$W$4,0))))</f>
        <v>149.88925849643056</v>
      </c>
      <c r="M51" s="168">
        <f ca="1">IF($C51-M$1&lt;År1,0,L50*(1-VLOOKUP($A51,[1]Hugst!$R$5:$W$9,MATCH(ROUNDUP((M$1)/10,0)*10,[1]Hugst!$R$4:$W$4,0))))</f>
        <v>150.64247085067836</v>
      </c>
      <c r="N51" s="168">
        <f ca="1">IF($C51-N$1&lt;År1,0,M50*(1-VLOOKUP($A51,[1]Hugst!$R$5:$W$9,MATCH(ROUNDUP((N$1)/10,0)*10,[1]Hugst!$R$4:$W$4,0))))</f>
        <v>151.3994681916447</v>
      </c>
      <c r="O51" s="168">
        <f ca="1">IF($C51-O$1&lt;År1,0,N50*(1-VLOOKUP($A51,[1]Hugst!$R$5:$W$9,MATCH(ROUNDUP((O$1)/10,0)*10,[1]Hugst!$R$4:$W$4,0))))</f>
        <v>152.16026953933761</v>
      </c>
      <c r="P51" s="168">
        <f ca="1">IF($C51-P$1&lt;År1,0,O50*(1-VLOOKUP($A51,[1]Hugst!$R$5:$W$9,MATCH(ROUNDUP((P$1)/10,0)*10,[1]Hugst!$R$4:$W$4,0))))</f>
        <v>152.92489400938575</v>
      </c>
      <c r="Q51" s="168">
        <f ca="1">IF($C51-Q$1&lt;År1,0,P50*(1-VLOOKUP($A51,[1]Hugst!$R$5:$W$9,MATCH(ROUNDUP((Q$1)/10,0)*10,[1]Hugst!$R$4:$W$4,0))))</f>
        <v>153.69336081344954</v>
      </c>
      <c r="R51" s="168">
        <f ca="1">IF($C51-R$1&lt;År1,0,Q50*(1-VLOOKUP($A51,[1]Hugst!$R$5:$W$9,MATCH(ROUNDUP((R$1)/10,0)*10,[1]Hugst!$R$4:$W$4,0))))</f>
        <v>154.46568925975589</v>
      </c>
      <c r="S51" s="168">
        <f ca="1">IF($C51-S$1&lt;År1,0,R50*(1-VLOOKUP($A51,[1]Hugst!$R$5:$W$9,MATCH(ROUNDUP((S$1)/10,0)*10,[1]Hugst!$R$4:$W$4,0))))</f>
        <v>155.24189875351658</v>
      </c>
      <c r="T51" s="168">
        <f ca="1">IF($C51-T$1&lt;År1,0,S50*(1-VLOOKUP($A51,[1]Hugst!$R$5:$W$9,MATCH(ROUNDUP((T$1)/10,0)*10,[1]Hugst!$R$4:$W$4,0))))</f>
        <v>156.02200879750671</v>
      </c>
      <c r="U51" s="168">
        <f ca="1">IF($C51-U$1&lt;År1,0,T50*(1-VLOOKUP($A51,[1]Hugst!$R$5:$W$9,MATCH(ROUNDUP((U$1)/10,0)*10,[1]Hugst!$R$4:$W$4,0))))</f>
        <v>156.80603899246489</v>
      </c>
      <c r="V51" s="168">
        <f ca="1">IF($C51-V$1&lt;År1,0,U50*(1-VLOOKUP($A51,[1]Hugst!$R$5:$W$9,MATCH(ROUNDUP((V$1)/10,0)*10,[1]Hugst!$R$4:$W$4,0))))</f>
        <v>157.59400903765709</v>
      </c>
      <c r="W51" s="168">
        <f ca="1">IF($C51-W$1&lt;År1,0,V50*(1-VLOOKUP($A51,[1]Hugst!$R$5:$W$9,MATCH(ROUNDUP((W$1)/10,0)*10,[1]Hugst!$R$4:$W$4,0))))</f>
        <v>158.38593873131322</v>
      </c>
      <c r="X51" s="168">
        <f ca="1">IF($C51-X$1&lt;År1,0,W50*(1-VLOOKUP($A51,[1]Hugst!$R$5:$W$9,MATCH(ROUNDUP((X$1)/10,0)*10,[1]Hugst!$R$4:$W$4,0))))</f>
        <v>159.18184797116919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174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144.72117381326461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144.72117381326461</v>
      </c>
      <c r="G52" s="168">
        <f ca="1">IF($C52-G$1&lt;År1,0,F51*(1-VLOOKUP($A52,[1]Hugst!$R$5:$W$9,MATCH(ROUNDUP((G$1)/10,0)*10,[1]Hugst!$R$4:$W$4,0))))</f>
        <v>145.44841589273346</v>
      </c>
      <c r="H52" s="168">
        <f ca="1">IF($C52-H$1&lt;År1,0,G51*(1-VLOOKUP($A52,[1]Hugst!$R$5:$W$9,MATCH(ROUNDUP((H$1)/10,0)*10,[1]Hugst!$R$4:$W$4,0))))</f>
        <v>146.17931245500586</v>
      </c>
      <c r="I52" s="168">
        <f ca="1">IF($C52-I$1&lt;År1,0,H51*(1-VLOOKUP($A52,[1]Hugst!$R$5:$W$9,MATCH(ROUNDUP((I$1)/10,0)*10,[1]Hugst!$R$4:$W$4,0))))</f>
        <v>146.91388186432596</v>
      </c>
      <c r="J52" s="168">
        <f ca="1">IF($C52-J$1&lt;År1,0,I51*(1-VLOOKUP($A52,[1]Hugst!$R$5:$W$9,MATCH(ROUNDUP((J$1)/10,0)*10,[1]Hugst!$R$4:$W$4,0))))</f>
        <v>147.65214257721527</v>
      </c>
      <c r="K52" s="168">
        <f ca="1">IF($C52-K$1&lt;År1,0,J51*(1-VLOOKUP($A52,[1]Hugst!$R$5:$W$9,MATCH(ROUNDUP((K$1)/10,0)*10,[1]Hugst!$R$4:$W$4,0))))</f>
        <v>148.39411314292738</v>
      </c>
      <c r="L52" s="168">
        <f ca="1">IF($C52-L$1&lt;År1,0,K51*(1-VLOOKUP($A52,[1]Hugst!$R$5:$W$9,MATCH(ROUNDUP((L$1)/10,0)*10,[1]Hugst!$R$4:$W$4,0))))</f>
        <v>149.13981220394635</v>
      </c>
      <c r="M52" s="168">
        <f ca="1">IF($C52-M$1&lt;År1,0,L51*(1-VLOOKUP($A52,[1]Hugst!$R$5:$W$9,MATCH(ROUNDUP((M$1)/10,0)*10,[1]Hugst!$R$4:$W$4,0))))</f>
        <v>149.88925849643056</v>
      </c>
      <c r="N52" s="168">
        <f ca="1">IF($C52-N$1&lt;År1,0,M51*(1-VLOOKUP($A52,[1]Hugst!$R$5:$W$9,MATCH(ROUNDUP((N$1)/10,0)*10,[1]Hugst!$R$4:$W$4,0))))</f>
        <v>150.64247085067836</v>
      </c>
      <c r="O52" s="168">
        <f ca="1">IF($C52-O$1&lt;År1,0,N51*(1-VLOOKUP($A52,[1]Hugst!$R$5:$W$9,MATCH(ROUNDUP((O$1)/10,0)*10,[1]Hugst!$R$4:$W$4,0))))</f>
        <v>151.3994681916447</v>
      </c>
      <c r="P52" s="168">
        <f ca="1">IF($C52-P$1&lt;År1,0,O51*(1-VLOOKUP($A52,[1]Hugst!$R$5:$W$9,MATCH(ROUNDUP((P$1)/10,0)*10,[1]Hugst!$R$4:$W$4,0))))</f>
        <v>152.16026953933761</v>
      </c>
      <c r="Q52" s="168">
        <f ca="1">IF($C52-Q$1&lt;År1,0,P51*(1-VLOOKUP($A52,[1]Hugst!$R$5:$W$9,MATCH(ROUNDUP((Q$1)/10,0)*10,[1]Hugst!$R$4:$W$4,0))))</f>
        <v>152.92489400938575</v>
      </c>
      <c r="R52" s="168">
        <f ca="1">IF($C52-R$1&lt;År1,0,Q51*(1-VLOOKUP($A52,[1]Hugst!$R$5:$W$9,MATCH(ROUNDUP((R$1)/10,0)*10,[1]Hugst!$R$4:$W$4,0))))</f>
        <v>153.69336081344954</v>
      </c>
      <c r="S52" s="168">
        <f ca="1">IF($C52-S$1&lt;År1,0,R51*(1-VLOOKUP($A52,[1]Hugst!$R$5:$W$9,MATCH(ROUNDUP((S$1)/10,0)*10,[1]Hugst!$R$4:$W$4,0))))</f>
        <v>154.46568925975589</v>
      </c>
      <c r="T52" s="168">
        <f ca="1">IF($C52-T$1&lt;År1,0,S51*(1-VLOOKUP($A52,[1]Hugst!$R$5:$W$9,MATCH(ROUNDUP((T$1)/10,0)*10,[1]Hugst!$R$4:$W$4,0))))</f>
        <v>155.24189875351658</v>
      </c>
      <c r="U52" s="168">
        <f ca="1">IF($C52-U$1&lt;År1,0,T51*(1-VLOOKUP($A52,[1]Hugst!$R$5:$W$9,MATCH(ROUNDUP((U$1)/10,0)*10,[1]Hugst!$R$4:$W$4,0))))</f>
        <v>156.02200879750671</v>
      </c>
      <c r="V52" s="168">
        <f ca="1">IF($C52-V$1&lt;År1,0,U51*(1-VLOOKUP($A52,[1]Hugst!$R$5:$W$9,MATCH(ROUNDUP((V$1)/10,0)*10,[1]Hugst!$R$4:$W$4,0))))</f>
        <v>156.80603899246489</v>
      </c>
      <c r="W52" s="168">
        <f ca="1">IF($C52-W$1&lt;År1,0,V51*(1-VLOOKUP($A52,[1]Hugst!$R$5:$W$9,MATCH(ROUNDUP((W$1)/10,0)*10,[1]Hugst!$R$4:$W$4,0))))</f>
        <v>157.59400903765709</v>
      </c>
      <c r="X52" s="168">
        <f ca="1">IF($C52-X$1&lt;År1,0,W51*(1-VLOOKUP($A52,[1]Hugst!$R$5:$W$9,MATCH(ROUNDUP((X$1)/10,0)*10,[1]Hugst!$R$4:$W$4,0))))</f>
        <v>158.38593873131322</v>
      </c>
      <c r="Y52" s="168">
        <f ca="1">IF($C52-Y$1&lt;År1,0,X51*(1-VLOOKUP($A52,[1]Hugst!$R$5:$W$9,MATCH(ROUNDUP((Y$1)/10,0)*10,[1]Hugst!$R$4:$W$4,0))))</f>
        <v>159.18184797116919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174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143.99756794419955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143.99756794419955</v>
      </c>
      <c r="G53" s="168">
        <f ca="1">IF($C53-G$1&lt;År1,0,F52*(1-VLOOKUP($A53,[1]Hugst!$R$5:$W$9,MATCH(ROUNDUP((G$1)/10,0)*10,[1]Hugst!$R$4:$W$4,0))))</f>
        <v>144.72117381326461</v>
      </c>
      <c r="H53" s="168">
        <f ca="1">IF($C53-H$1&lt;År1,0,G52*(1-VLOOKUP($A53,[1]Hugst!$R$5:$W$9,MATCH(ROUNDUP((H$1)/10,0)*10,[1]Hugst!$R$4:$W$4,0))))</f>
        <v>145.44841589273346</v>
      </c>
      <c r="I53" s="168">
        <f ca="1">IF($C53-I$1&lt;År1,0,H52*(1-VLOOKUP($A53,[1]Hugst!$R$5:$W$9,MATCH(ROUNDUP((I$1)/10,0)*10,[1]Hugst!$R$4:$W$4,0))))</f>
        <v>146.17931245500586</v>
      </c>
      <c r="J53" s="168">
        <f ca="1">IF($C53-J$1&lt;År1,0,I52*(1-VLOOKUP($A53,[1]Hugst!$R$5:$W$9,MATCH(ROUNDUP((J$1)/10,0)*10,[1]Hugst!$R$4:$W$4,0))))</f>
        <v>146.91388186432596</v>
      </c>
      <c r="K53" s="168">
        <f ca="1">IF($C53-K$1&lt;År1,0,J52*(1-VLOOKUP($A53,[1]Hugst!$R$5:$W$9,MATCH(ROUNDUP((K$1)/10,0)*10,[1]Hugst!$R$4:$W$4,0))))</f>
        <v>147.65214257721527</v>
      </c>
      <c r="L53" s="168">
        <f ca="1">IF($C53-L$1&lt;År1,0,K52*(1-VLOOKUP($A53,[1]Hugst!$R$5:$W$9,MATCH(ROUNDUP((L$1)/10,0)*10,[1]Hugst!$R$4:$W$4,0))))</f>
        <v>148.39411314292738</v>
      </c>
      <c r="M53" s="168">
        <f ca="1">IF($C53-M$1&lt;År1,0,L52*(1-VLOOKUP($A53,[1]Hugst!$R$5:$W$9,MATCH(ROUNDUP((M$1)/10,0)*10,[1]Hugst!$R$4:$W$4,0))))</f>
        <v>149.13981220394635</v>
      </c>
      <c r="N53" s="168">
        <f ca="1">IF($C53-N$1&lt;År1,0,M52*(1-VLOOKUP($A53,[1]Hugst!$R$5:$W$9,MATCH(ROUNDUP((N$1)/10,0)*10,[1]Hugst!$R$4:$W$4,0))))</f>
        <v>149.88925849643056</v>
      </c>
      <c r="O53" s="168">
        <f ca="1">IF($C53-O$1&lt;År1,0,N52*(1-VLOOKUP($A53,[1]Hugst!$R$5:$W$9,MATCH(ROUNDUP((O$1)/10,0)*10,[1]Hugst!$R$4:$W$4,0))))</f>
        <v>150.64247085067836</v>
      </c>
      <c r="P53" s="168">
        <f ca="1">IF($C53-P$1&lt;År1,0,O52*(1-VLOOKUP($A53,[1]Hugst!$R$5:$W$9,MATCH(ROUNDUP((P$1)/10,0)*10,[1]Hugst!$R$4:$W$4,0))))</f>
        <v>151.3994681916447</v>
      </c>
      <c r="Q53" s="168">
        <f ca="1">IF($C53-Q$1&lt;År1,0,P52*(1-VLOOKUP($A53,[1]Hugst!$R$5:$W$9,MATCH(ROUNDUP((Q$1)/10,0)*10,[1]Hugst!$R$4:$W$4,0))))</f>
        <v>152.16026953933761</v>
      </c>
      <c r="R53" s="168">
        <f ca="1">IF($C53-R$1&lt;År1,0,Q52*(1-VLOOKUP($A53,[1]Hugst!$R$5:$W$9,MATCH(ROUNDUP((R$1)/10,0)*10,[1]Hugst!$R$4:$W$4,0))))</f>
        <v>152.92489400938575</v>
      </c>
      <c r="S53" s="168">
        <f ca="1">IF($C53-S$1&lt;År1,0,R52*(1-VLOOKUP($A53,[1]Hugst!$R$5:$W$9,MATCH(ROUNDUP((S$1)/10,0)*10,[1]Hugst!$R$4:$W$4,0))))</f>
        <v>153.69336081344954</v>
      </c>
      <c r="T53" s="168">
        <f ca="1">IF($C53-T$1&lt;År1,0,S52*(1-VLOOKUP($A53,[1]Hugst!$R$5:$W$9,MATCH(ROUNDUP((T$1)/10,0)*10,[1]Hugst!$R$4:$W$4,0))))</f>
        <v>154.46568925975589</v>
      </c>
      <c r="U53" s="168">
        <f ca="1">IF($C53-U$1&lt;År1,0,T52*(1-VLOOKUP($A53,[1]Hugst!$R$5:$W$9,MATCH(ROUNDUP((U$1)/10,0)*10,[1]Hugst!$R$4:$W$4,0))))</f>
        <v>155.24189875351658</v>
      </c>
      <c r="V53" s="168">
        <f ca="1">IF($C53-V$1&lt;År1,0,U52*(1-VLOOKUP($A53,[1]Hugst!$R$5:$W$9,MATCH(ROUNDUP((V$1)/10,0)*10,[1]Hugst!$R$4:$W$4,0))))</f>
        <v>156.02200879750671</v>
      </c>
      <c r="W53" s="168">
        <f ca="1">IF($C53-W$1&lt;År1,0,V52*(1-VLOOKUP($A53,[1]Hugst!$R$5:$W$9,MATCH(ROUNDUP((W$1)/10,0)*10,[1]Hugst!$R$4:$W$4,0))))</f>
        <v>156.80603899246489</v>
      </c>
      <c r="X53" s="168">
        <f ca="1">IF($C53-X$1&lt;År1,0,W52*(1-VLOOKUP($A53,[1]Hugst!$R$5:$W$9,MATCH(ROUNDUP((X$1)/10,0)*10,[1]Hugst!$R$4:$W$4,0))))</f>
        <v>157.59400903765709</v>
      </c>
      <c r="Y53" s="168">
        <f ca="1">IF($C53-Y$1&lt;År1,0,X52*(1-VLOOKUP($A53,[1]Hugst!$R$5:$W$9,MATCH(ROUNDUP((Y$1)/10,0)*10,[1]Hugst!$R$4:$W$4,0))))</f>
        <v>158.38593873131322</v>
      </c>
      <c r="Z53" s="168">
        <f ca="1">IF($C53-Z$1&lt;År1,0,Y52*(1-VLOOKUP($A53,[1]Hugst!$R$5:$W$9,MATCH(ROUNDUP((Z$1)/10,0)*10,[1]Hugst!$R$4:$W$4,0))))</f>
        <v>159.18184797116919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174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143.27758010448088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143.27758010448088</v>
      </c>
      <c r="G54" s="168">
        <f ca="1">IF($C54-G$1&lt;År1,0,F53*(1-VLOOKUP($A54,[1]Hugst!$R$5:$W$9,MATCH(ROUNDUP((G$1)/10,0)*10,[1]Hugst!$R$4:$W$4,0))))</f>
        <v>143.99756794419955</v>
      </c>
      <c r="H54" s="168">
        <f ca="1">IF($C54-H$1&lt;År1,0,G53*(1-VLOOKUP($A54,[1]Hugst!$R$5:$W$9,MATCH(ROUNDUP((H$1)/10,0)*10,[1]Hugst!$R$4:$W$4,0))))</f>
        <v>144.72117381326461</v>
      </c>
      <c r="I54" s="168">
        <f ca="1">IF($C54-I$1&lt;År1,0,H53*(1-VLOOKUP($A54,[1]Hugst!$R$5:$W$9,MATCH(ROUNDUP((I$1)/10,0)*10,[1]Hugst!$R$4:$W$4,0))))</f>
        <v>145.44841589273346</v>
      </c>
      <c r="J54" s="168">
        <f ca="1">IF($C54-J$1&lt;År1,0,I53*(1-VLOOKUP($A54,[1]Hugst!$R$5:$W$9,MATCH(ROUNDUP((J$1)/10,0)*10,[1]Hugst!$R$4:$W$4,0))))</f>
        <v>146.17931245500586</v>
      </c>
      <c r="K54" s="168">
        <f ca="1">IF($C54-K$1&lt;År1,0,J53*(1-VLOOKUP($A54,[1]Hugst!$R$5:$W$9,MATCH(ROUNDUP((K$1)/10,0)*10,[1]Hugst!$R$4:$W$4,0))))</f>
        <v>146.91388186432596</v>
      </c>
      <c r="L54" s="168">
        <f ca="1">IF($C54-L$1&lt;År1,0,K53*(1-VLOOKUP($A54,[1]Hugst!$R$5:$W$9,MATCH(ROUNDUP((L$1)/10,0)*10,[1]Hugst!$R$4:$W$4,0))))</f>
        <v>147.65214257721527</v>
      </c>
      <c r="M54" s="168">
        <f ca="1">IF($C54-M$1&lt;År1,0,L53*(1-VLOOKUP($A54,[1]Hugst!$R$5:$W$9,MATCH(ROUNDUP((M$1)/10,0)*10,[1]Hugst!$R$4:$W$4,0))))</f>
        <v>148.39411314292738</v>
      </c>
      <c r="N54" s="168">
        <f ca="1">IF($C54-N$1&lt;År1,0,M53*(1-VLOOKUP($A54,[1]Hugst!$R$5:$W$9,MATCH(ROUNDUP((N$1)/10,0)*10,[1]Hugst!$R$4:$W$4,0))))</f>
        <v>149.13981220394635</v>
      </c>
      <c r="O54" s="168">
        <f ca="1">IF($C54-O$1&lt;År1,0,N53*(1-VLOOKUP($A54,[1]Hugst!$R$5:$W$9,MATCH(ROUNDUP((O$1)/10,0)*10,[1]Hugst!$R$4:$W$4,0))))</f>
        <v>149.88925849643056</v>
      </c>
      <c r="P54" s="168">
        <f ca="1">IF($C54-P$1&lt;År1,0,O53*(1-VLOOKUP($A54,[1]Hugst!$R$5:$W$9,MATCH(ROUNDUP((P$1)/10,0)*10,[1]Hugst!$R$4:$W$4,0))))</f>
        <v>150.64247085067836</v>
      </c>
      <c r="Q54" s="168">
        <f ca="1">IF($C54-Q$1&lt;År1,0,P53*(1-VLOOKUP($A54,[1]Hugst!$R$5:$W$9,MATCH(ROUNDUP((Q$1)/10,0)*10,[1]Hugst!$R$4:$W$4,0))))</f>
        <v>151.3994681916447</v>
      </c>
      <c r="R54" s="168">
        <f ca="1">IF($C54-R$1&lt;År1,0,Q53*(1-VLOOKUP($A54,[1]Hugst!$R$5:$W$9,MATCH(ROUNDUP((R$1)/10,0)*10,[1]Hugst!$R$4:$W$4,0))))</f>
        <v>152.16026953933761</v>
      </c>
      <c r="S54" s="168">
        <f ca="1">IF($C54-S$1&lt;År1,0,R53*(1-VLOOKUP($A54,[1]Hugst!$R$5:$W$9,MATCH(ROUNDUP((S$1)/10,0)*10,[1]Hugst!$R$4:$W$4,0))))</f>
        <v>152.92489400938575</v>
      </c>
      <c r="T54" s="168">
        <f ca="1">IF($C54-T$1&lt;År1,0,S53*(1-VLOOKUP($A54,[1]Hugst!$R$5:$W$9,MATCH(ROUNDUP((T$1)/10,0)*10,[1]Hugst!$R$4:$W$4,0))))</f>
        <v>153.69336081344954</v>
      </c>
      <c r="U54" s="168">
        <f ca="1">IF($C54-U$1&lt;År1,0,T53*(1-VLOOKUP($A54,[1]Hugst!$R$5:$W$9,MATCH(ROUNDUP((U$1)/10,0)*10,[1]Hugst!$R$4:$W$4,0))))</f>
        <v>154.46568925975589</v>
      </c>
      <c r="V54" s="168">
        <f ca="1">IF($C54-V$1&lt;År1,0,U53*(1-VLOOKUP($A54,[1]Hugst!$R$5:$W$9,MATCH(ROUNDUP((V$1)/10,0)*10,[1]Hugst!$R$4:$W$4,0))))</f>
        <v>155.24189875351658</v>
      </c>
      <c r="W54" s="168">
        <f ca="1">IF($C54-W$1&lt;År1,0,V53*(1-VLOOKUP($A54,[1]Hugst!$R$5:$W$9,MATCH(ROUNDUP((W$1)/10,0)*10,[1]Hugst!$R$4:$W$4,0))))</f>
        <v>156.02200879750671</v>
      </c>
      <c r="X54" s="168">
        <f ca="1">IF($C54-X$1&lt;År1,0,W53*(1-VLOOKUP($A54,[1]Hugst!$R$5:$W$9,MATCH(ROUNDUP((X$1)/10,0)*10,[1]Hugst!$R$4:$W$4,0))))</f>
        <v>156.80603899246489</v>
      </c>
      <c r="Y54" s="168">
        <f ca="1">IF($C54-Y$1&lt;År1,0,X53*(1-VLOOKUP($A54,[1]Hugst!$R$5:$W$9,MATCH(ROUNDUP((Y$1)/10,0)*10,[1]Hugst!$R$4:$W$4,0))))</f>
        <v>157.59400903765709</v>
      </c>
      <c r="Z54" s="168">
        <f ca="1">IF($C54-Z$1&lt;År1,0,Y53*(1-VLOOKUP($A54,[1]Hugst!$R$5:$W$9,MATCH(ROUNDUP((Z$1)/10,0)*10,[1]Hugst!$R$4:$W$4,0))))</f>
        <v>158.38593873131322</v>
      </c>
      <c r="AA54" s="168">
        <f ca="1">IF($C54-AA$1&lt;År1,0,Z53*(1-VLOOKUP($A54,[1]Hugst!$R$5:$W$9,MATCH(ROUNDUP((AA$1)/10,0)*10,[1]Hugst!$R$4:$W$4,0))))</f>
        <v>159.18184797116919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174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142.56119220395703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142.56119220395703</v>
      </c>
      <c r="G55" s="168">
        <f ca="1">IF($C55-G$1&lt;År1,0,F54*(1-VLOOKUP($A55,[1]Hugst!$R$5:$W$9,MATCH(ROUNDUP((G$1)/10,0)*10,[1]Hugst!$R$4:$W$4,0))))</f>
        <v>143.27758010448088</v>
      </c>
      <c r="H55" s="168">
        <f ca="1">IF($C55-H$1&lt;År1,0,G54*(1-VLOOKUP($A55,[1]Hugst!$R$5:$W$9,MATCH(ROUNDUP((H$1)/10,0)*10,[1]Hugst!$R$4:$W$4,0))))</f>
        <v>143.99756794419955</v>
      </c>
      <c r="I55" s="168">
        <f ca="1">IF($C55-I$1&lt;År1,0,H54*(1-VLOOKUP($A55,[1]Hugst!$R$5:$W$9,MATCH(ROUNDUP((I$1)/10,0)*10,[1]Hugst!$R$4:$W$4,0))))</f>
        <v>144.72117381326461</v>
      </c>
      <c r="J55" s="168">
        <f ca="1">IF($C55-J$1&lt;År1,0,I54*(1-VLOOKUP($A55,[1]Hugst!$R$5:$W$9,MATCH(ROUNDUP((J$1)/10,0)*10,[1]Hugst!$R$4:$W$4,0))))</f>
        <v>145.44841589273346</v>
      </c>
      <c r="K55" s="168">
        <f ca="1">IF($C55-K$1&lt;År1,0,J54*(1-VLOOKUP($A55,[1]Hugst!$R$5:$W$9,MATCH(ROUNDUP((K$1)/10,0)*10,[1]Hugst!$R$4:$W$4,0))))</f>
        <v>146.17931245500586</v>
      </c>
      <c r="L55" s="168">
        <f ca="1">IF($C55-L$1&lt;År1,0,K54*(1-VLOOKUP($A55,[1]Hugst!$R$5:$W$9,MATCH(ROUNDUP((L$1)/10,0)*10,[1]Hugst!$R$4:$W$4,0))))</f>
        <v>146.91388186432596</v>
      </c>
      <c r="M55" s="168">
        <f ca="1">IF($C55-M$1&lt;År1,0,L54*(1-VLOOKUP($A55,[1]Hugst!$R$5:$W$9,MATCH(ROUNDUP((M$1)/10,0)*10,[1]Hugst!$R$4:$W$4,0))))</f>
        <v>147.65214257721527</v>
      </c>
      <c r="N55" s="168">
        <f ca="1">IF($C55-N$1&lt;År1,0,M54*(1-VLOOKUP($A55,[1]Hugst!$R$5:$W$9,MATCH(ROUNDUP((N$1)/10,0)*10,[1]Hugst!$R$4:$W$4,0))))</f>
        <v>148.39411314292738</v>
      </c>
      <c r="O55" s="168">
        <f ca="1">IF($C55-O$1&lt;År1,0,N54*(1-VLOOKUP($A55,[1]Hugst!$R$5:$W$9,MATCH(ROUNDUP((O$1)/10,0)*10,[1]Hugst!$R$4:$W$4,0))))</f>
        <v>149.13981220394635</v>
      </c>
      <c r="P55" s="168">
        <f ca="1">IF($C55-P$1&lt;År1,0,O54*(1-VLOOKUP($A55,[1]Hugst!$R$5:$W$9,MATCH(ROUNDUP((P$1)/10,0)*10,[1]Hugst!$R$4:$W$4,0))))</f>
        <v>149.88925849643056</v>
      </c>
      <c r="Q55" s="168">
        <f ca="1">IF($C55-Q$1&lt;År1,0,P54*(1-VLOOKUP($A55,[1]Hugst!$R$5:$W$9,MATCH(ROUNDUP((Q$1)/10,0)*10,[1]Hugst!$R$4:$W$4,0))))</f>
        <v>150.64247085067836</v>
      </c>
      <c r="R55" s="168">
        <f ca="1">IF($C55-R$1&lt;År1,0,Q54*(1-VLOOKUP($A55,[1]Hugst!$R$5:$W$9,MATCH(ROUNDUP((R$1)/10,0)*10,[1]Hugst!$R$4:$W$4,0))))</f>
        <v>151.3994681916447</v>
      </c>
      <c r="S55" s="168">
        <f ca="1">IF($C55-S$1&lt;År1,0,R54*(1-VLOOKUP($A55,[1]Hugst!$R$5:$W$9,MATCH(ROUNDUP((S$1)/10,0)*10,[1]Hugst!$R$4:$W$4,0))))</f>
        <v>152.16026953933761</v>
      </c>
      <c r="T55" s="168">
        <f ca="1">IF($C55-T$1&lt;År1,0,S54*(1-VLOOKUP($A55,[1]Hugst!$R$5:$W$9,MATCH(ROUNDUP((T$1)/10,0)*10,[1]Hugst!$R$4:$W$4,0))))</f>
        <v>152.92489400938575</v>
      </c>
      <c r="U55" s="168">
        <f ca="1">IF($C55-U$1&lt;År1,0,T54*(1-VLOOKUP($A55,[1]Hugst!$R$5:$W$9,MATCH(ROUNDUP((U$1)/10,0)*10,[1]Hugst!$R$4:$W$4,0))))</f>
        <v>153.69336081344954</v>
      </c>
      <c r="V55" s="168">
        <f ca="1">IF($C55-V$1&lt;År1,0,U54*(1-VLOOKUP($A55,[1]Hugst!$R$5:$W$9,MATCH(ROUNDUP((V$1)/10,0)*10,[1]Hugst!$R$4:$W$4,0))))</f>
        <v>154.46568925975589</v>
      </c>
      <c r="W55" s="168">
        <f ca="1">IF($C55-W$1&lt;År1,0,V54*(1-VLOOKUP($A55,[1]Hugst!$R$5:$W$9,MATCH(ROUNDUP((W$1)/10,0)*10,[1]Hugst!$R$4:$W$4,0))))</f>
        <v>155.24189875351658</v>
      </c>
      <c r="X55" s="168">
        <f ca="1">IF($C55-X$1&lt;År1,0,W54*(1-VLOOKUP($A55,[1]Hugst!$R$5:$W$9,MATCH(ROUNDUP((X$1)/10,0)*10,[1]Hugst!$R$4:$W$4,0))))</f>
        <v>156.02200879750671</v>
      </c>
      <c r="Y55" s="168">
        <f ca="1">IF($C55-Y$1&lt;År1,0,X54*(1-VLOOKUP($A55,[1]Hugst!$R$5:$W$9,MATCH(ROUNDUP((Y$1)/10,0)*10,[1]Hugst!$R$4:$W$4,0))))</f>
        <v>156.80603899246489</v>
      </c>
      <c r="Z55" s="168">
        <f ca="1">IF($C55-Z$1&lt;År1,0,Y54*(1-VLOOKUP($A55,[1]Hugst!$R$5:$W$9,MATCH(ROUNDUP((Z$1)/10,0)*10,[1]Hugst!$R$4:$W$4,0))))</f>
        <v>157.59400903765709</v>
      </c>
      <c r="AA55" s="168">
        <f ca="1">IF($C55-AA$1&lt;År1,0,Z54*(1-VLOOKUP($A55,[1]Hugst!$R$5:$W$9,MATCH(ROUNDUP((AA$1)/10,0)*10,[1]Hugst!$R$4:$W$4,0))))</f>
        <v>158.38593873131322</v>
      </c>
      <c r="AB55" s="168">
        <f ca="1">IF($C55-AB$1&lt;År1,0,AA54*(1-VLOOKUP($A55,[1]Hugst!$R$5:$W$9,MATCH(ROUNDUP((AB$1)/10,0)*10,[1]Hugst!$R$4:$W$4,0))))</f>
        <v>159.18184797116919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174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141.84838624293843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141.84838624293843</v>
      </c>
      <c r="G56" s="168">
        <f ca="1">IF($C56-G$1&lt;År1,0,F55*(1-VLOOKUP($A56,[1]Hugst!$R$5:$W$9,MATCH(ROUNDUP((G$1)/10,0)*10,[1]Hugst!$R$4:$W$4,0))))</f>
        <v>142.56119220395703</v>
      </c>
      <c r="H56" s="168">
        <f ca="1">IF($C56-H$1&lt;År1,0,G55*(1-VLOOKUP($A56,[1]Hugst!$R$5:$W$9,MATCH(ROUNDUP((H$1)/10,0)*10,[1]Hugst!$R$4:$W$4,0))))</f>
        <v>143.27758010448088</v>
      </c>
      <c r="I56" s="168">
        <f ca="1">IF($C56-I$1&lt;År1,0,H55*(1-VLOOKUP($A56,[1]Hugst!$R$5:$W$9,MATCH(ROUNDUP((I$1)/10,0)*10,[1]Hugst!$R$4:$W$4,0))))</f>
        <v>143.99756794419955</v>
      </c>
      <c r="J56" s="168">
        <f ca="1">IF($C56-J$1&lt;År1,0,I55*(1-VLOOKUP($A56,[1]Hugst!$R$5:$W$9,MATCH(ROUNDUP((J$1)/10,0)*10,[1]Hugst!$R$4:$W$4,0))))</f>
        <v>144.72117381326461</v>
      </c>
      <c r="K56" s="168">
        <f ca="1">IF($C56-K$1&lt;År1,0,J55*(1-VLOOKUP($A56,[1]Hugst!$R$5:$W$9,MATCH(ROUNDUP((K$1)/10,0)*10,[1]Hugst!$R$4:$W$4,0))))</f>
        <v>145.44841589273346</v>
      </c>
      <c r="L56" s="168">
        <f ca="1">IF($C56-L$1&lt;År1,0,K55*(1-VLOOKUP($A56,[1]Hugst!$R$5:$W$9,MATCH(ROUNDUP((L$1)/10,0)*10,[1]Hugst!$R$4:$W$4,0))))</f>
        <v>146.17931245500586</v>
      </c>
      <c r="M56" s="168">
        <f ca="1">IF($C56-M$1&lt;År1,0,L55*(1-VLOOKUP($A56,[1]Hugst!$R$5:$W$9,MATCH(ROUNDUP((M$1)/10,0)*10,[1]Hugst!$R$4:$W$4,0))))</f>
        <v>146.91388186432596</v>
      </c>
      <c r="N56" s="168">
        <f ca="1">IF($C56-N$1&lt;År1,0,M55*(1-VLOOKUP($A56,[1]Hugst!$R$5:$W$9,MATCH(ROUNDUP((N$1)/10,0)*10,[1]Hugst!$R$4:$W$4,0))))</f>
        <v>147.65214257721527</v>
      </c>
      <c r="O56" s="168">
        <f ca="1">IF($C56-O$1&lt;År1,0,N55*(1-VLOOKUP($A56,[1]Hugst!$R$5:$W$9,MATCH(ROUNDUP((O$1)/10,0)*10,[1]Hugst!$R$4:$W$4,0))))</f>
        <v>148.39411314292738</v>
      </c>
      <c r="P56" s="168">
        <f ca="1">IF($C56-P$1&lt;År1,0,O55*(1-VLOOKUP($A56,[1]Hugst!$R$5:$W$9,MATCH(ROUNDUP((P$1)/10,0)*10,[1]Hugst!$R$4:$W$4,0))))</f>
        <v>149.13981220394635</v>
      </c>
      <c r="Q56" s="168">
        <f ca="1">IF($C56-Q$1&lt;År1,0,P55*(1-VLOOKUP($A56,[1]Hugst!$R$5:$W$9,MATCH(ROUNDUP((Q$1)/10,0)*10,[1]Hugst!$R$4:$W$4,0))))</f>
        <v>149.88925849643056</v>
      </c>
      <c r="R56" s="168">
        <f ca="1">IF($C56-R$1&lt;År1,0,Q55*(1-VLOOKUP($A56,[1]Hugst!$R$5:$W$9,MATCH(ROUNDUP((R$1)/10,0)*10,[1]Hugst!$R$4:$W$4,0))))</f>
        <v>150.64247085067836</v>
      </c>
      <c r="S56" s="168">
        <f ca="1">IF($C56-S$1&lt;År1,0,R55*(1-VLOOKUP($A56,[1]Hugst!$R$5:$W$9,MATCH(ROUNDUP((S$1)/10,0)*10,[1]Hugst!$R$4:$W$4,0))))</f>
        <v>151.3994681916447</v>
      </c>
      <c r="T56" s="168">
        <f ca="1">IF($C56-T$1&lt;År1,0,S55*(1-VLOOKUP($A56,[1]Hugst!$R$5:$W$9,MATCH(ROUNDUP((T$1)/10,0)*10,[1]Hugst!$R$4:$W$4,0))))</f>
        <v>152.16026953933761</v>
      </c>
      <c r="U56" s="168">
        <f ca="1">IF($C56-U$1&lt;År1,0,T55*(1-VLOOKUP($A56,[1]Hugst!$R$5:$W$9,MATCH(ROUNDUP((U$1)/10,0)*10,[1]Hugst!$R$4:$W$4,0))))</f>
        <v>152.92489400938575</v>
      </c>
      <c r="V56" s="168">
        <f ca="1">IF($C56-V$1&lt;År1,0,U55*(1-VLOOKUP($A56,[1]Hugst!$R$5:$W$9,MATCH(ROUNDUP((V$1)/10,0)*10,[1]Hugst!$R$4:$W$4,0))))</f>
        <v>153.69336081344954</v>
      </c>
      <c r="W56" s="168">
        <f ca="1">IF($C56-W$1&lt;År1,0,V55*(1-VLOOKUP($A56,[1]Hugst!$R$5:$W$9,MATCH(ROUNDUP((W$1)/10,0)*10,[1]Hugst!$R$4:$W$4,0))))</f>
        <v>154.46568925975589</v>
      </c>
      <c r="X56" s="168">
        <f ca="1">IF($C56-X$1&lt;År1,0,W55*(1-VLOOKUP($A56,[1]Hugst!$R$5:$W$9,MATCH(ROUNDUP((X$1)/10,0)*10,[1]Hugst!$R$4:$W$4,0))))</f>
        <v>155.24189875351658</v>
      </c>
      <c r="Y56" s="168">
        <f ca="1">IF($C56-Y$1&lt;År1,0,X55*(1-VLOOKUP($A56,[1]Hugst!$R$5:$W$9,MATCH(ROUNDUP((Y$1)/10,0)*10,[1]Hugst!$R$4:$W$4,0))))</f>
        <v>156.02200879750671</v>
      </c>
      <c r="Z56" s="168">
        <f ca="1">IF($C56-Z$1&lt;År1,0,Y55*(1-VLOOKUP($A56,[1]Hugst!$R$5:$W$9,MATCH(ROUNDUP((Z$1)/10,0)*10,[1]Hugst!$R$4:$W$4,0))))</f>
        <v>156.80603899246489</v>
      </c>
      <c r="AA56" s="168">
        <f ca="1">IF($C56-AA$1&lt;År1,0,Z55*(1-VLOOKUP($A56,[1]Hugst!$R$5:$W$9,MATCH(ROUNDUP((AA$1)/10,0)*10,[1]Hugst!$R$4:$W$4,0))))</f>
        <v>157.59400903765709</v>
      </c>
      <c r="AB56" s="168">
        <f ca="1">IF($C56-AB$1&lt;År1,0,AA55*(1-VLOOKUP($A56,[1]Hugst!$R$5:$W$9,MATCH(ROUNDUP((AB$1)/10,0)*10,[1]Hugst!$R$4:$W$4,0))))</f>
        <v>158.38593873131322</v>
      </c>
      <c r="AC56" s="168">
        <f ca="1">IF($C56-AC$1&lt;År1,0,AB55*(1-VLOOKUP($A56,[1]Hugst!$R$5:$W$9,MATCH(ROUNDUP((AC$1)/10,0)*10,[1]Hugst!$R$4:$W$4,0))))</f>
        <v>159.18184797116919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174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141.13914431172088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141.13914431172088</v>
      </c>
      <c r="G57" s="168">
        <f ca="1">IF($C57-G$1&lt;År1,0,F56*(1-VLOOKUP($A57,[1]Hugst!$R$5:$W$9,MATCH(ROUNDUP((G$1)/10,0)*10,[1]Hugst!$R$4:$W$4,0))))</f>
        <v>141.84838624293843</v>
      </c>
      <c r="H57" s="168">
        <f ca="1">IF($C57-H$1&lt;År1,0,G56*(1-VLOOKUP($A57,[1]Hugst!$R$5:$W$9,MATCH(ROUNDUP((H$1)/10,0)*10,[1]Hugst!$R$4:$W$4,0))))</f>
        <v>142.56119220395703</v>
      </c>
      <c r="I57" s="168">
        <f ca="1">IF($C57-I$1&lt;År1,0,H56*(1-VLOOKUP($A57,[1]Hugst!$R$5:$W$9,MATCH(ROUNDUP((I$1)/10,0)*10,[1]Hugst!$R$4:$W$4,0))))</f>
        <v>143.27758010448088</v>
      </c>
      <c r="J57" s="168">
        <f ca="1">IF($C57-J$1&lt;År1,0,I56*(1-VLOOKUP($A57,[1]Hugst!$R$5:$W$9,MATCH(ROUNDUP((J$1)/10,0)*10,[1]Hugst!$R$4:$W$4,0))))</f>
        <v>143.99756794419955</v>
      </c>
      <c r="K57" s="168">
        <f ca="1">IF($C57-K$1&lt;År1,0,J56*(1-VLOOKUP($A57,[1]Hugst!$R$5:$W$9,MATCH(ROUNDUP((K$1)/10,0)*10,[1]Hugst!$R$4:$W$4,0))))</f>
        <v>144.72117381326461</v>
      </c>
      <c r="L57" s="168">
        <f ca="1">IF($C57-L$1&lt;År1,0,K56*(1-VLOOKUP($A57,[1]Hugst!$R$5:$W$9,MATCH(ROUNDUP((L$1)/10,0)*10,[1]Hugst!$R$4:$W$4,0))))</f>
        <v>145.44841589273346</v>
      </c>
      <c r="M57" s="168">
        <f ca="1">IF($C57-M$1&lt;År1,0,L56*(1-VLOOKUP($A57,[1]Hugst!$R$5:$W$9,MATCH(ROUNDUP((M$1)/10,0)*10,[1]Hugst!$R$4:$W$4,0))))</f>
        <v>146.17931245500586</v>
      </c>
      <c r="N57" s="168">
        <f ca="1">IF($C57-N$1&lt;År1,0,M56*(1-VLOOKUP($A57,[1]Hugst!$R$5:$W$9,MATCH(ROUNDUP((N$1)/10,0)*10,[1]Hugst!$R$4:$W$4,0))))</f>
        <v>146.91388186432596</v>
      </c>
      <c r="O57" s="168">
        <f ca="1">IF($C57-O$1&lt;År1,0,N56*(1-VLOOKUP($A57,[1]Hugst!$R$5:$W$9,MATCH(ROUNDUP((O$1)/10,0)*10,[1]Hugst!$R$4:$W$4,0))))</f>
        <v>147.65214257721527</v>
      </c>
      <c r="P57" s="168">
        <f ca="1">IF($C57-P$1&lt;År1,0,O56*(1-VLOOKUP($A57,[1]Hugst!$R$5:$W$9,MATCH(ROUNDUP((P$1)/10,0)*10,[1]Hugst!$R$4:$W$4,0))))</f>
        <v>148.39411314292738</v>
      </c>
      <c r="Q57" s="168">
        <f ca="1">IF($C57-Q$1&lt;År1,0,P56*(1-VLOOKUP($A57,[1]Hugst!$R$5:$W$9,MATCH(ROUNDUP((Q$1)/10,0)*10,[1]Hugst!$R$4:$W$4,0))))</f>
        <v>149.13981220394635</v>
      </c>
      <c r="R57" s="168">
        <f ca="1">IF($C57-R$1&lt;År1,0,Q56*(1-VLOOKUP($A57,[1]Hugst!$R$5:$W$9,MATCH(ROUNDUP((R$1)/10,0)*10,[1]Hugst!$R$4:$W$4,0))))</f>
        <v>149.88925849643056</v>
      </c>
      <c r="S57" s="168">
        <f ca="1">IF($C57-S$1&lt;År1,0,R56*(1-VLOOKUP($A57,[1]Hugst!$R$5:$W$9,MATCH(ROUNDUP((S$1)/10,0)*10,[1]Hugst!$R$4:$W$4,0))))</f>
        <v>150.64247085067836</v>
      </c>
      <c r="T57" s="168">
        <f ca="1">IF($C57-T$1&lt;År1,0,S56*(1-VLOOKUP($A57,[1]Hugst!$R$5:$W$9,MATCH(ROUNDUP((T$1)/10,0)*10,[1]Hugst!$R$4:$W$4,0))))</f>
        <v>151.3994681916447</v>
      </c>
      <c r="U57" s="168">
        <f ca="1">IF($C57-U$1&lt;År1,0,T56*(1-VLOOKUP($A57,[1]Hugst!$R$5:$W$9,MATCH(ROUNDUP((U$1)/10,0)*10,[1]Hugst!$R$4:$W$4,0))))</f>
        <v>152.16026953933761</v>
      </c>
      <c r="V57" s="168">
        <f ca="1">IF($C57-V$1&lt;År1,0,U56*(1-VLOOKUP($A57,[1]Hugst!$R$5:$W$9,MATCH(ROUNDUP((V$1)/10,0)*10,[1]Hugst!$R$4:$W$4,0))))</f>
        <v>152.92489400938575</v>
      </c>
      <c r="W57" s="168">
        <f ca="1">IF($C57-W$1&lt;År1,0,V56*(1-VLOOKUP($A57,[1]Hugst!$R$5:$W$9,MATCH(ROUNDUP((W$1)/10,0)*10,[1]Hugst!$R$4:$W$4,0))))</f>
        <v>153.69336081344954</v>
      </c>
      <c r="X57" s="168">
        <f ca="1">IF($C57-X$1&lt;År1,0,W56*(1-VLOOKUP($A57,[1]Hugst!$R$5:$W$9,MATCH(ROUNDUP((X$1)/10,0)*10,[1]Hugst!$R$4:$W$4,0))))</f>
        <v>154.46568925975589</v>
      </c>
      <c r="Y57" s="168">
        <f ca="1">IF($C57-Y$1&lt;År1,0,X56*(1-VLOOKUP($A57,[1]Hugst!$R$5:$W$9,MATCH(ROUNDUP((Y$1)/10,0)*10,[1]Hugst!$R$4:$W$4,0))))</f>
        <v>155.24189875351658</v>
      </c>
      <c r="Z57" s="168">
        <f ca="1">IF($C57-Z$1&lt;År1,0,Y56*(1-VLOOKUP($A57,[1]Hugst!$R$5:$W$9,MATCH(ROUNDUP((Z$1)/10,0)*10,[1]Hugst!$R$4:$W$4,0))))</f>
        <v>156.02200879750671</v>
      </c>
      <c r="AA57" s="168">
        <f ca="1">IF($C57-AA$1&lt;År1,0,Z56*(1-VLOOKUP($A57,[1]Hugst!$R$5:$W$9,MATCH(ROUNDUP((AA$1)/10,0)*10,[1]Hugst!$R$4:$W$4,0))))</f>
        <v>156.80603899246489</v>
      </c>
      <c r="AB57" s="168">
        <f ca="1">IF($C57-AB$1&lt;År1,0,AA56*(1-VLOOKUP($A57,[1]Hugst!$R$5:$W$9,MATCH(ROUNDUP((AB$1)/10,0)*10,[1]Hugst!$R$4:$W$4,0))))</f>
        <v>157.59400903765709</v>
      </c>
      <c r="AC57" s="168">
        <f ca="1">IF($C57-AC$1&lt;År1,0,AB56*(1-VLOOKUP($A57,[1]Hugst!$R$5:$W$9,MATCH(ROUNDUP((AC$1)/10,0)*10,[1]Hugst!$R$4:$W$4,0))))</f>
        <v>158.38593873131322</v>
      </c>
      <c r="AD57" s="168">
        <f ca="1">IF($C57-AD$1&lt;År1,0,AC56*(1-VLOOKUP($A57,[1]Hugst!$R$5:$W$9,MATCH(ROUNDUP((AD$1)/10,0)*10,[1]Hugst!$R$4:$W$4,0))))</f>
        <v>159.18184797116919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174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140.43344859016361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140.43344859016361</v>
      </c>
      <c r="G58" s="168">
        <f ca="1">IF($C58-G$1&lt;År1,0,F57*(1-VLOOKUP($A58,[1]Hugst!$R$5:$W$9,MATCH(ROUNDUP((G$1)/10,0)*10,[1]Hugst!$R$4:$W$4,0))))</f>
        <v>141.13914431172088</v>
      </c>
      <c r="H58" s="168">
        <f ca="1">IF($C58-H$1&lt;År1,0,G57*(1-VLOOKUP($A58,[1]Hugst!$R$5:$W$9,MATCH(ROUNDUP((H$1)/10,0)*10,[1]Hugst!$R$4:$W$4,0))))</f>
        <v>141.84838624293843</v>
      </c>
      <c r="I58" s="168">
        <f ca="1">IF($C58-I$1&lt;År1,0,H57*(1-VLOOKUP($A58,[1]Hugst!$R$5:$W$9,MATCH(ROUNDUP((I$1)/10,0)*10,[1]Hugst!$R$4:$W$4,0))))</f>
        <v>142.56119220395703</v>
      </c>
      <c r="J58" s="168">
        <f ca="1">IF($C58-J$1&lt;År1,0,I57*(1-VLOOKUP($A58,[1]Hugst!$R$5:$W$9,MATCH(ROUNDUP((J$1)/10,0)*10,[1]Hugst!$R$4:$W$4,0))))</f>
        <v>143.27758010448088</v>
      </c>
      <c r="K58" s="168">
        <f ca="1">IF($C58-K$1&lt;År1,0,J57*(1-VLOOKUP($A58,[1]Hugst!$R$5:$W$9,MATCH(ROUNDUP((K$1)/10,0)*10,[1]Hugst!$R$4:$W$4,0))))</f>
        <v>143.99756794419955</v>
      </c>
      <c r="L58" s="168">
        <f ca="1">IF($C58-L$1&lt;År1,0,K57*(1-VLOOKUP($A58,[1]Hugst!$R$5:$W$9,MATCH(ROUNDUP((L$1)/10,0)*10,[1]Hugst!$R$4:$W$4,0))))</f>
        <v>144.72117381326461</v>
      </c>
      <c r="M58" s="168">
        <f ca="1">IF($C58-M$1&lt;År1,0,L57*(1-VLOOKUP($A58,[1]Hugst!$R$5:$W$9,MATCH(ROUNDUP((M$1)/10,0)*10,[1]Hugst!$R$4:$W$4,0))))</f>
        <v>145.44841589273346</v>
      </c>
      <c r="N58" s="168">
        <f ca="1">IF($C58-N$1&lt;År1,0,M57*(1-VLOOKUP($A58,[1]Hugst!$R$5:$W$9,MATCH(ROUNDUP((N$1)/10,0)*10,[1]Hugst!$R$4:$W$4,0))))</f>
        <v>146.17931245500586</v>
      </c>
      <c r="O58" s="168">
        <f ca="1">IF($C58-O$1&lt;År1,0,N57*(1-VLOOKUP($A58,[1]Hugst!$R$5:$W$9,MATCH(ROUNDUP((O$1)/10,0)*10,[1]Hugst!$R$4:$W$4,0))))</f>
        <v>146.91388186432596</v>
      </c>
      <c r="P58" s="168">
        <f ca="1">IF($C58-P$1&lt;År1,0,O57*(1-VLOOKUP($A58,[1]Hugst!$R$5:$W$9,MATCH(ROUNDUP((P$1)/10,0)*10,[1]Hugst!$R$4:$W$4,0))))</f>
        <v>147.65214257721527</v>
      </c>
      <c r="Q58" s="168">
        <f ca="1">IF($C58-Q$1&lt;År1,0,P57*(1-VLOOKUP($A58,[1]Hugst!$R$5:$W$9,MATCH(ROUNDUP((Q$1)/10,0)*10,[1]Hugst!$R$4:$W$4,0))))</f>
        <v>148.39411314292738</v>
      </c>
      <c r="R58" s="168">
        <f ca="1">IF($C58-R$1&lt;År1,0,Q57*(1-VLOOKUP($A58,[1]Hugst!$R$5:$W$9,MATCH(ROUNDUP((R$1)/10,0)*10,[1]Hugst!$R$4:$W$4,0))))</f>
        <v>149.13981220394635</v>
      </c>
      <c r="S58" s="168">
        <f ca="1">IF($C58-S$1&lt;År1,0,R57*(1-VLOOKUP($A58,[1]Hugst!$R$5:$W$9,MATCH(ROUNDUP((S$1)/10,0)*10,[1]Hugst!$R$4:$W$4,0))))</f>
        <v>149.88925849643056</v>
      </c>
      <c r="T58" s="168">
        <f ca="1">IF($C58-T$1&lt;År1,0,S57*(1-VLOOKUP($A58,[1]Hugst!$R$5:$W$9,MATCH(ROUNDUP((T$1)/10,0)*10,[1]Hugst!$R$4:$W$4,0))))</f>
        <v>150.64247085067836</v>
      </c>
      <c r="U58" s="168">
        <f ca="1">IF($C58-U$1&lt;År1,0,T57*(1-VLOOKUP($A58,[1]Hugst!$R$5:$W$9,MATCH(ROUNDUP((U$1)/10,0)*10,[1]Hugst!$R$4:$W$4,0))))</f>
        <v>151.3994681916447</v>
      </c>
      <c r="V58" s="168">
        <f ca="1">IF($C58-V$1&lt;År1,0,U57*(1-VLOOKUP($A58,[1]Hugst!$R$5:$W$9,MATCH(ROUNDUP((V$1)/10,0)*10,[1]Hugst!$R$4:$W$4,0))))</f>
        <v>152.16026953933761</v>
      </c>
      <c r="W58" s="168">
        <f ca="1">IF($C58-W$1&lt;År1,0,V57*(1-VLOOKUP($A58,[1]Hugst!$R$5:$W$9,MATCH(ROUNDUP((W$1)/10,0)*10,[1]Hugst!$R$4:$W$4,0))))</f>
        <v>152.92489400938575</v>
      </c>
      <c r="X58" s="168">
        <f ca="1">IF($C58-X$1&lt;År1,0,W57*(1-VLOOKUP($A58,[1]Hugst!$R$5:$W$9,MATCH(ROUNDUP((X$1)/10,0)*10,[1]Hugst!$R$4:$W$4,0))))</f>
        <v>153.69336081344954</v>
      </c>
      <c r="Y58" s="168">
        <f ca="1">IF($C58-Y$1&lt;År1,0,X57*(1-VLOOKUP($A58,[1]Hugst!$R$5:$W$9,MATCH(ROUNDUP((Y$1)/10,0)*10,[1]Hugst!$R$4:$W$4,0))))</f>
        <v>154.46568925975589</v>
      </c>
      <c r="Z58" s="168">
        <f ca="1">IF($C58-Z$1&lt;År1,0,Y57*(1-VLOOKUP($A58,[1]Hugst!$R$5:$W$9,MATCH(ROUNDUP((Z$1)/10,0)*10,[1]Hugst!$R$4:$W$4,0))))</f>
        <v>155.24189875351658</v>
      </c>
      <c r="AA58" s="168">
        <f ca="1">IF($C58-AA$1&lt;År1,0,Z57*(1-VLOOKUP($A58,[1]Hugst!$R$5:$W$9,MATCH(ROUNDUP((AA$1)/10,0)*10,[1]Hugst!$R$4:$W$4,0))))</f>
        <v>156.02200879750671</v>
      </c>
      <c r="AB58" s="168">
        <f ca="1">IF($C58-AB$1&lt;År1,0,AA57*(1-VLOOKUP($A58,[1]Hugst!$R$5:$W$9,MATCH(ROUNDUP((AB$1)/10,0)*10,[1]Hugst!$R$4:$W$4,0))))</f>
        <v>156.80603899246489</v>
      </c>
      <c r="AC58" s="168">
        <f ca="1">IF($C58-AC$1&lt;År1,0,AB57*(1-VLOOKUP($A58,[1]Hugst!$R$5:$W$9,MATCH(ROUNDUP((AC$1)/10,0)*10,[1]Hugst!$R$4:$W$4,0))))</f>
        <v>157.59400903765709</v>
      </c>
      <c r="AD58" s="168">
        <f ca="1">IF($C58-AD$1&lt;År1,0,AC57*(1-VLOOKUP($A58,[1]Hugst!$R$5:$W$9,MATCH(ROUNDUP((AD$1)/10,0)*10,[1]Hugst!$R$4:$W$4,0))))</f>
        <v>158.38593873131322</v>
      </c>
      <c r="AE58" s="168">
        <f ca="1">IF($C58-AE$1&lt;År1,0,AD57*(1-VLOOKUP($A58,[1]Hugst!$R$5:$W$9,MATCH(ROUNDUP((AE$1)/10,0)*10,[1]Hugst!$R$4:$W$4,0))))</f>
        <v>159.18184797116919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174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139.73128134721628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139.73128134721628</v>
      </c>
      <c r="G59" s="168">
        <f ca="1">IF($C59-G$1&lt;År1,0,F58*(1-VLOOKUP($A59,[1]Hugst!$R$5:$W$9,MATCH(ROUNDUP((G$1)/10,0)*10,[1]Hugst!$R$4:$W$4,0))))</f>
        <v>140.43344859016361</v>
      </c>
      <c r="H59" s="168">
        <f ca="1">IF($C59-H$1&lt;År1,0,G58*(1-VLOOKUP($A59,[1]Hugst!$R$5:$W$9,MATCH(ROUNDUP((H$1)/10,0)*10,[1]Hugst!$R$4:$W$4,0))))</f>
        <v>141.13914431172088</v>
      </c>
      <c r="I59" s="168">
        <f ca="1">IF($C59-I$1&lt;År1,0,H58*(1-VLOOKUP($A59,[1]Hugst!$R$5:$W$9,MATCH(ROUNDUP((I$1)/10,0)*10,[1]Hugst!$R$4:$W$4,0))))</f>
        <v>141.84838624293843</v>
      </c>
      <c r="J59" s="168">
        <f ca="1">IF($C59-J$1&lt;År1,0,I58*(1-VLOOKUP($A59,[1]Hugst!$R$5:$W$9,MATCH(ROUNDUP((J$1)/10,0)*10,[1]Hugst!$R$4:$W$4,0))))</f>
        <v>142.56119220395703</v>
      </c>
      <c r="K59" s="168">
        <f ca="1">IF($C59-K$1&lt;År1,0,J58*(1-VLOOKUP($A59,[1]Hugst!$R$5:$W$9,MATCH(ROUNDUP((K$1)/10,0)*10,[1]Hugst!$R$4:$W$4,0))))</f>
        <v>143.27758010448088</v>
      </c>
      <c r="L59" s="168">
        <f ca="1">IF($C59-L$1&lt;År1,0,K58*(1-VLOOKUP($A59,[1]Hugst!$R$5:$W$9,MATCH(ROUNDUP((L$1)/10,0)*10,[1]Hugst!$R$4:$W$4,0))))</f>
        <v>143.99756794419955</v>
      </c>
      <c r="M59" s="168">
        <f ca="1">IF($C59-M$1&lt;År1,0,L58*(1-VLOOKUP($A59,[1]Hugst!$R$5:$W$9,MATCH(ROUNDUP((M$1)/10,0)*10,[1]Hugst!$R$4:$W$4,0))))</f>
        <v>144.72117381326461</v>
      </c>
      <c r="N59" s="168">
        <f ca="1">IF($C59-N$1&lt;År1,0,M58*(1-VLOOKUP($A59,[1]Hugst!$R$5:$W$9,MATCH(ROUNDUP((N$1)/10,0)*10,[1]Hugst!$R$4:$W$4,0))))</f>
        <v>145.44841589273346</v>
      </c>
      <c r="O59" s="168">
        <f ca="1">IF($C59-O$1&lt;År1,0,N58*(1-VLOOKUP($A59,[1]Hugst!$R$5:$W$9,MATCH(ROUNDUP((O$1)/10,0)*10,[1]Hugst!$R$4:$W$4,0))))</f>
        <v>146.17931245500586</v>
      </c>
      <c r="P59" s="168">
        <f ca="1">IF($C59-P$1&lt;År1,0,O58*(1-VLOOKUP($A59,[1]Hugst!$R$5:$W$9,MATCH(ROUNDUP((P$1)/10,0)*10,[1]Hugst!$R$4:$W$4,0))))</f>
        <v>146.91388186432596</v>
      </c>
      <c r="Q59" s="168">
        <f ca="1">IF($C59-Q$1&lt;År1,0,P58*(1-VLOOKUP($A59,[1]Hugst!$R$5:$W$9,MATCH(ROUNDUP((Q$1)/10,0)*10,[1]Hugst!$R$4:$W$4,0))))</f>
        <v>147.65214257721527</v>
      </c>
      <c r="R59" s="168">
        <f ca="1">IF($C59-R$1&lt;År1,0,Q58*(1-VLOOKUP($A59,[1]Hugst!$R$5:$W$9,MATCH(ROUNDUP((R$1)/10,0)*10,[1]Hugst!$R$4:$W$4,0))))</f>
        <v>148.39411314292738</v>
      </c>
      <c r="S59" s="168">
        <f ca="1">IF($C59-S$1&lt;År1,0,R58*(1-VLOOKUP($A59,[1]Hugst!$R$5:$W$9,MATCH(ROUNDUP((S$1)/10,0)*10,[1]Hugst!$R$4:$W$4,0))))</f>
        <v>149.13981220394635</v>
      </c>
      <c r="T59" s="168">
        <f ca="1">IF($C59-T$1&lt;År1,0,S58*(1-VLOOKUP($A59,[1]Hugst!$R$5:$W$9,MATCH(ROUNDUP((T$1)/10,0)*10,[1]Hugst!$R$4:$W$4,0))))</f>
        <v>149.88925849643056</v>
      </c>
      <c r="U59" s="168">
        <f ca="1">IF($C59-U$1&lt;År1,0,T58*(1-VLOOKUP($A59,[1]Hugst!$R$5:$W$9,MATCH(ROUNDUP((U$1)/10,0)*10,[1]Hugst!$R$4:$W$4,0))))</f>
        <v>150.64247085067836</v>
      </c>
      <c r="V59" s="168">
        <f ca="1">IF($C59-V$1&lt;År1,0,U58*(1-VLOOKUP($A59,[1]Hugst!$R$5:$W$9,MATCH(ROUNDUP((V$1)/10,0)*10,[1]Hugst!$R$4:$W$4,0))))</f>
        <v>151.3994681916447</v>
      </c>
      <c r="W59" s="168">
        <f ca="1">IF($C59-W$1&lt;År1,0,V58*(1-VLOOKUP($A59,[1]Hugst!$R$5:$W$9,MATCH(ROUNDUP((W$1)/10,0)*10,[1]Hugst!$R$4:$W$4,0))))</f>
        <v>152.16026953933761</v>
      </c>
      <c r="X59" s="168">
        <f ca="1">IF($C59-X$1&lt;År1,0,W58*(1-VLOOKUP($A59,[1]Hugst!$R$5:$W$9,MATCH(ROUNDUP((X$1)/10,0)*10,[1]Hugst!$R$4:$W$4,0))))</f>
        <v>152.92489400938575</v>
      </c>
      <c r="Y59" s="168">
        <f ca="1">IF($C59-Y$1&lt;År1,0,X58*(1-VLOOKUP($A59,[1]Hugst!$R$5:$W$9,MATCH(ROUNDUP((Y$1)/10,0)*10,[1]Hugst!$R$4:$W$4,0))))</f>
        <v>153.69336081344954</v>
      </c>
      <c r="Z59" s="168">
        <f ca="1">IF($C59-Z$1&lt;År1,0,Y58*(1-VLOOKUP($A59,[1]Hugst!$R$5:$W$9,MATCH(ROUNDUP((Z$1)/10,0)*10,[1]Hugst!$R$4:$W$4,0))))</f>
        <v>154.46568925975589</v>
      </c>
      <c r="AA59" s="168">
        <f ca="1">IF($C59-AA$1&lt;År1,0,Z58*(1-VLOOKUP($A59,[1]Hugst!$R$5:$W$9,MATCH(ROUNDUP((AA$1)/10,0)*10,[1]Hugst!$R$4:$W$4,0))))</f>
        <v>155.24189875351658</v>
      </c>
      <c r="AB59" s="168">
        <f ca="1">IF($C59-AB$1&lt;År1,0,AA58*(1-VLOOKUP($A59,[1]Hugst!$R$5:$W$9,MATCH(ROUNDUP((AB$1)/10,0)*10,[1]Hugst!$R$4:$W$4,0))))</f>
        <v>156.02200879750671</v>
      </c>
      <c r="AC59" s="168">
        <f ca="1">IF($C59-AC$1&lt;År1,0,AB58*(1-VLOOKUP($A59,[1]Hugst!$R$5:$W$9,MATCH(ROUNDUP((AC$1)/10,0)*10,[1]Hugst!$R$4:$W$4,0))))</f>
        <v>156.80603899246489</v>
      </c>
      <c r="AD59" s="168">
        <f ca="1">IF($C59-AD$1&lt;År1,0,AC58*(1-VLOOKUP($A59,[1]Hugst!$R$5:$W$9,MATCH(ROUNDUP((AD$1)/10,0)*10,[1]Hugst!$R$4:$W$4,0))))</f>
        <v>157.59400903765709</v>
      </c>
      <c r="AE59" s="168">
        <f ca="1">IF($C59-AE$1&lt;År1,0,AD58*(1-VLOOKUP($A59,[1]Hugst!$R$5:$W$9,MATCH(ROUNDUP((AE$1)/10,0)*10,[1]Hugst!$R$4:$W$4,0))))</f>
        <v>158.38593873131322</v>
      </c>
      <c r="AF59" s="168">
        <f ca="1">IF($C59-AF$1&lt;År1,0,AE58*(1-VLOOKUP($A59,[1]Hugst!$R$5:$W$9,MATCH(ROUNDUP((AF$1)/10,0)*10,[1]Hugst!$R$4:$W$4,0))))</f>
        <v>159.18184797116919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174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139.03262494047158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139.03262494047158</v>
      </c>
      <c r="G60" s="168">
        <f ca="1">IF($C60-G$1&lt;År1,0,F59*(1-VLOOKUP($A60,[1]Hugst!$R$5:$W$9,MATCH(ROUNDUP((G$1)/10,0)*10,[1]Hugst!$R$4:$W$4,0))))</f>
        <v>139.73128134721628</v>
      </c>
      <c r="H60" s="168">
        <f ca="1">IF($C60-H$1&lt;År1,0,G59*(1-VLOOKUP($A60,[1]Hugst!$R$5:$W$9,MATCH(ROUNDUP((H$1)/10,0)*10,[1]Hugst!$R$4:$W$4,0))))</f>
        <v>140.43344859016361</v>
      </c>
      <c r="I60" s="168">
        <f ca="1">IF($C60-I$1&lt;År1,0,H59*(1-VLOOKUP($A60,[1]Hugst!$R$5:$W$9,MATCH(ROUNDUP((I$1)/10,0)*10,[1]Hugst!$R$4:$W$4,0))))</f>
        <v>141.13914431172088</v>
      </c>
      <c r="J60" s="168">
        <f ca="1">IF($C60-J$1&lt;År1,0,I59*(1-VLOOKUP($A60,[1]Hugst!$R$5:$W$9,MATCH(ROUNDUP((J$1)/10,0)*10,[1]Hugst!$R$4:$W$4,0))))</f>
        <v>141.84838624293843</v>
      </c>
      <c r="K60" s="168">
        <f ca="1">IF($C60-K$1&lt;År1,0,J59*(1-VLOOKUP($A60,[1]Hugst!$R$5:$W$9,MATCH(ROUNDUP((K$1)/10,0)*10,[1]Hugst!$R$4:$W$4,0))))</f>
        <v>142.56119220395703</v>
      </c>
      <c r="L60" s="168">
        <f ca="1">IF($C60-L$1&lt;År1,0,K59*(1-VLOOKUP($A60,[1]Hugst!$R$5:$W$9,MATCH(ROUNDUP((L$1)/10,0)*10,[1]Hugst!$R$4:$W$4,0))))</f>
        <v>143.27758010448088</v>
      </c>
      <c r="M60" s="168">
        <f ca="1">IF($C60-M$1&lt;År1,0,L59*(1-VLOOKUP($A60,[1]Hugst!$R$5:$W$9,MATCH(ROUNDUP((M$1)/10,0)*10,[1]Hugst!$R$4:$W$4,0))))</f>
        <v>143.99756794419955</v>
      </c>
      <c r="N60" s="168">
        <f ca="1">IF($C60-N$1&lt;År1,0,M59*(1-VLOOKUP($A60,[1]Hugst!$R$5:$W$9,MATCH(ROUNDUP((N$1)/10,0)*10,[1]Hugst!$R$4:$W$4,0))))</f>
        <v>144.72117381326461</v>
      </c>
      <c r="O60" s="168">
        <f ca="1">IF($C60-O$1&lt;År1,0,N59*(1-VLOOKUP($A60,[1]Hugst!$R$5:$W$9,MATCH(ROUNDUP((O$1)/10,0)*10,[1]Hugst!$R$4:$W$4,0))))</f>
        <v>145.44841589273346</v>
      </c>
      <c r="P60" s="168">
        <f ca="1">IF($C60-P$1&lt;År1,0,O59*(1-VLOOKUP($A60,[1]Hugst!$R$5:$W$9,MATCH(ROUNDUP((P$1)/10,0)*10,[1]Hugst!$R$4:$W$4,0))))</f>
        <v>146.17931245500586</v>
      </c>
      <c r="Q60" s="168">
        <f ca="1">IF($C60-Q$1&lt;År1,0,P59*(1-VLOOKUP($A60,[1]Hugst!$R$5:$W$9,MATCH(ROUNDUP((Q$1)/10,0)*10,[1]Hugst!$R$4:$W$4,0))))</f>
        <v>146.91388186432596</v>
      </c>
      <c r="R60" s="168">
        <f ca="1">IF($C60-R$1&lt;År1,0,Q59*(1-VLOOKUP($A60,[1]Hugst!$R$5:$W$9,MATCH(ROUNDUP((R$1)/10,0)*10,[1]Hugst!$R$4:$W$4,0))))</f>
        <v>147.65214257721527</v>
      </c>
      <c r="S60" s="168">
        <f ca="1">IF($C60-S$1&lt;År1,0,R59*(1-VLOOKUP($A60,[1]Hugst!$R$5:$W$9,MATCH(ROUNDUP((S$1)/10,0)*10,[1]Hugst!$R$4:$W$4,0))))</f>
        <v>148.39411314292738</v>
      </c>
      <c r="T60" s="168">
        <f ca="1">IF($C60-T$1&lt;År1,0,S59*(1-VLOOKUP($A60,[1]Hugst!$R$5:$W$9,MATCH(ROUNDUP((T$1)/10,0)*10,[1]Hugst!$R$4:$W$4,0))))</f>
        <v>149.13981220394635</v>
      </c>
      <c r="U60" s="168">
        <f ca="1">IF($C60-U$1&lt;År1,0,T59*(1-VLOOKUP($A60,[1]Hugst!$R$5:$W$9,MATCH(ROUNDUP((U$1)/10,0)*10,[1]Hugst!$R$4:$W$4,0))))</f>
        <v>149.88925849643056</v>
      </c>
      <c r="V60" s="168">
        <f ca="1">IF($C60-V$1&lt;År1,0,U59*(1-VLOOKUP($A60,[1]Hugst!$R$5:$W$9,MATCH(ROUNDUP((V$1)/10,0)*10,[1]Hugst!$R$4:$W$4,0))))</f>
        <v>150.64247085067836</v>
      </c>
      <c r="W60" s="168">
        <f ca="1">IF($C60-W$1&lt;År1,0,V59*(1-VLOOKUP($A60,[1]Hugst!$R$5:$W$9,MATCH(ROUNDUP((W$1)/10,0)*10,[1]Hugst!$R$4:$W$4,0))))</f>
        <v>151.3994681916447</v>
      </c>
      <c r="X60" s="168">
        <f ca="1">IF($C60-X$1&lt;År1,0,W59*(1-VLOOKUP($A60,[1]Hugst!$R$5:$W$9,MATCH(ROUNDUP((X$1)/10,0)*10,[1]Hugst!$R$4:$W$4,0))))</f>
        <v>152.16026953933761</v>
      </c>
      <c r="Y60" s="168">
        <f ca="1">IF($C60-Y$1&lt;År1,0,X59*(1-VLOOKUP($A60,[1]Hugst!$R$5:$W$9,MATCH(ROUNDUP((Y$1)/10,0)*10,[1]Hugst!$R$4:$W$4,0))))</f>
        <v>152.92489400938575</v>
      </c>
      <c r="Z60" s="168">
        <f ca="1">IF($C60-Z$1&lt;År1,0,Y59*(1-VLOOKUP($A60,[1]Hugst!$R$5:$W$9,MATCH(ROUNDUP((Z$1)/10,0)*10,[1]Hugst!$R$4:$W$4,0))))</f>
        <v>153.69336081344954</v>
      </c>
      <c r="AA60" s="168">
        <f ca="1">IF($C60-AA$1&lt;År1,0,Z59*(1-VLOOKUP($A60,[1]Hugst!$R$5:$W$9,MATCH(ROUNDUP((AA$1)/10,0)*10,[1]Hugst!$R$4:$W$4,0))))</f>
        <v>154.46568925975589</v>
      </c>
      <c r="AB60" s="168">
        <f ca="1">IF($C60-AB$1&lt;År1,0,AA59*(1-VLOOKUP($A60,[1]Hugst!$R$5:$W$9,MATCH(ROUNDUP((AB$1)/10,0)*10,[1]Hugst!$R$4:$W$4,0))))</f>
        <v>155.24189875351658</v>
      </c>
      <c r="AC60" s="168">
        <f ca="1">IF($C60-AC$1&lt;År1,0,AB59*(1-VLOOKUP($A60,[1]Hugst!$R$5:$W$9,MATCH(ROUNDUP((AC$1)/10,0)*10,[1]Hugst!$R$4:$W$4,0))))</f>
        <v>156.02200879750671</v>
      </c>
      <c r="AD60" s="168">
        <f ca="1">IF($C60-AD$1&lt;År1,0,AC59*(1-VLOOKUP($A60,[1]Hugst!$R$5:$W$9,MATCH(ROUNDUP((AD$1)/10,0)*10,[1]Hugst!$R$4:$W$4,0))))</f>
        <v>156.80603899246489</v>
      </c>
      <c r="AE60" s="168">
        <f ca="1">IF($C60-AE$1&lt;År1,0,AD59*(1-VLOOKUP($A60,[1]Hugst!$R$5:$W$9,MATCH(ROUNDUP((AE$1)/10,0)*10,[1]Hugst!$R$4:$W$4,0))))</f>
        <v>157.59400903765709</v>
      </c>
      <c r="AF60" s="168">
        <f ca="1">IF($C60-AF$1&lt;År1,0,AE59*(1-VLOOKUP($A60,[1]Hugst!$R$5:$W$9,MATCH(ROUNDUP((AF$1)/10,0)*10,[1]Hugst!$R$4:$W$4,0))))</f>
        <v>158.38593873131322</v>
      </c>
      <c r="AG60" s="168">
        <f ca="1">IF($C60-AG$1&lt;År1,0,AF59*(1-VLOOKUP($A60,[1]Hugst!$R$5:$W$9,MATCH(ROUNDUP((AG$1)/10,0)*10,[1]Hugst!$R$4:$W$4,0))))</f>
        <v>159.18184797116919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174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138.33746181577226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138.33746181577226</v>
      </c>
      <c r="G61" s="168">
        <f ca="1">IF($C61-G$1&lt;År1,0,F60*(1-VLOOKUP($A61,[1]Hugst!$R$5:$W$9,MATCH(ROUNDUP((G$1)/10,0)*10,[1]Hugst!$R$4:$W$4,0))))</f>
        <v>139.03262494047158</v>
      </c>
      <c r="H61" s="168">
        <f ca="1">IF($C61-H$1&lt;År1,0,G60*(1-VLOOKUP($A61,[1]Hugst!$R$5:$W$9,MATCH(ROUNDUP((H$1)/10,0)*10,[1]Hugst!$R$4:$W$4,0))))</f>
        <v>139.73128134721628</v>
      </c>
      <c r="I61" s="168">
        <f ca="1">IF($C61-I$1&lt;År1,0,H60*(1-VLOOKUP($A61,[1]Hugst!$R$5:$W$9,MATCH(ROUNDUP((I$1)/10,0)*10,[1]Hugst!$R$4:$W$4,0))))</f>
        <v>140.43344859016361</v>
      </c>
      <c r="J61" s="168">
        <f ca="1">IF($C61-J$1&lt;År1,0,I60*(1-VLOOKUP($A61,[1]Hugst!$R$5:$W$9,MATCH(ROUNDUP((J$1)/10,0)*10,[1]Hugst!$R$4:$W$4,0))))</f>
        <v>141.13914431172088</v>
      </c>
      <c r="K61" s="168">
        <f ca="1">IF($C61-K$1&lt;År1,0,J60*(1-VLOOKUP($A61,[1]Hugst!$R$5:$W$9,MATCH(ROUNDUP((K$1)/10,0)*10,[1]Hugst!$R$4:$W$4,0))))</f>
        <v>141.84838624293843</v>
      </c>
      <c r="L61" s="168">
        <f ca="1">IF($C61-L$1&lt;År1,0,K60*(1-VLOOKUP($A61,[1]Hugst!$R$5:$W$9,MATCH(ROUNDUP((L$1)/10,0)*10,[1]Hugst!$R$4:$W$4,0))))</f>
        <v>142.56119220395703</v>
      </c>
      <c r="M61" s="168">
        <f ca="1">IF($C61-M$1&lt;År1,0,L60*(1-VLOOKUP($A61,[1]Hugst!$R$5:$W$9,MATCH(ROUNDUP((M$1)/10,0)*10,[1]Hugst!$R$4:$W$4,0))))</f>
        <v>143.27758010448088</v>
      </c>
      <c r="N61" s="168">
        <f ca="1">IF($C61-N$1&lt;År1,0,M60*(1-VLOOKUP($A61,[1]Hugst!$R$5:$W$9,MATCH(ROUNDUP((N$1)/10,0)*10,[1]Hugst!$R$4:$W$4,0))))</f>
        <v>143.99756794419955</v>
      </c>
      <c r="O61" s="168">
        <f ca="1">IF($C61-O$1&lt;År1,0,N60*(1-VLOOKUP($A61,[1]Hugst!$R$5:$W$9,MATCH(ROUNDUP((O$1)/10,0)*10,[1]Hugst!$R$4:$W$4,0))))</f>
        <v>144.72117381326461</v>
      </c>
      <c r="P61" s="168">
        <f ca="1">IF($C61-P$1&lt;År1,0,O60*(1-VLOOKUP($A61,[1]Hugst!$R$5:$W$9,MATCH(ROUNDUP((P$1)/10,0)*10,[1]Hugst!$R$4:$W$4,0))))</f>
        <v>145.44841589273346</v>
      </c>
      <c r="Q61" s="168">
        <f ca="1">IF($C61-Q$1&lt;År1,0,P60*(1-VLOOKUP($A61,[1]Hugst!$R$5:$W$9,MATCH(ROUNDUP((Q$1)/10,0)*10,[1]Hugst!$R$4:$W$4,0))))</f>
        <v>146.17931245500586</v>
      </c>
      <c r="R61" s="168">
        <f ca="1">IF($C61-R$1&lt;År1,0,Q60*(1-VLOOKUP($A61,[1]Hugst!$R$5:$W$9,MATCH(ROUNDUP((R$1)/10,0)*10,[1]Hugst!$R$4:$W$4,0))))</f>
        <v>146.91388186432596</v>
      </c>
      <c r="S61" s="168">
        <f ca="1">IF($C61-S$1&lt;År1,0,R60*(1-VLOOKUP($A61,[1]Hugst!$R$5:$W$9,MATCH(ROUNDUP((S$1)/10,0)*10,[1]Hugst!$R$4:$W$4,0))))</f>
        <v>147.65214257721527</v>
      </c>
      <c r="T61" s="168">
        <f ca="1">IF($C61-T$1&lt;År1,0,S60*(1-VLOOKUP($A61,[1]Hugst!$R$5:$W$9,MATCH(ROUNDUP((T$1)/10,0)*10,[1]Hugst!$R$4:$W$4,0))))</f>
        <v>148.39411314292738</v>
      </c>
      <c r="U61" s="168">
        <f ca="1">IF($C61-U$1&lt;År1,0,T60*(1-VLOOKUP($A61,[1]Hugst!$R$5:$W$9,MATCH(ROUNDUP((U$1)/10,0)*10,[1]Hugst!$R$4:$W$4,0))))</f>
        <v>149.13981220394635</v>
      </c>
      <c r="V61" s="168">
        <f ca="1">IF($C61-V$1&lt;År1,0,U60*(1-VLOOKUP($A61,[1]Hugst!$R$5:$W$9,MATCH(ROUNDUP((V$1)/10,0)*10,[1]Hugst!$R$4:$W$4,0))))</f>
        <v>149.88925849643056</v>
      </c>
      <c r="W61" s="168">
        <f ca="1">IF($C61-W$1&lt;År1,0,V60*(1-VLOOKUP($A61,[1]Hugst!$R$5:$W$9,MATCH(ROUNDUP((W$1)/10,0)*10,[1]Hugst!$R$4:$W$4,0))))</f>
        <v>150.64247085067836</v>
      </c>
      <c r="X61" s="168">
        <f ca="1">IF($C61-X$1&lt;År1,0,W60*(1-VLOOKUP($A61,[1]Hugst!$R$5:$W$9,MATCH(ROUNDUP((X$1)/10,0)*10,[1]Hugst!$R$4:$W$4,0))))</f>
        <v>151.3994681916447</v>
      </c>
      <c r="Y61" s="168">
        <f ca="1">IF($C61-Y$1&lt;År1,0,X60*(1-VLOOKUP($A61,[1]Hugst!$R$5:$W$9,MATCH(ROUNDUP((Y$1)/10,0)*10,[1]Hugst!$R$4:$W$4,0))))</f>
        <v>152.16026953933761</v>
      </c>
      <c r="Z61" s="168">
        <f ca="1">IF($C61-Z$1&lt;År1,0,Y60*(1-VLOOKUP($A61,[1]Hugst!$R$5:$W$9,MATCH(ROUNDUP((Z$1)/10,0)*10,[1]Hugst!$R$4:$W$4,0))))</f>
        <v>152.92489400938575</v>
      </c>
      <c r="AA61" s="168">
        <f ca="1">IF($C61-AA$1&lt;År1,0,Z60*(1-VLOOKUP($A61,[1]Hugst!$R$5:$W$9,MATCH(ROUNDUP((AA$1)/10,0)*10,[1]Hugst!$R$4:$W$4,0))))</f>
        <v>153.69336081344954</v>
      </c>
      <c r="AB61" s="168">
        <f ca="1">IF($C61-AB$1&lt;År1,0,AA60*(1-VLOOKUP($A61,[1]Hugst!$R$5:$W$9,MATCH(ROUNDUP((AB$1)/10,0)*10,[1]Hugst!$R$4:$W$4,0))))</f>
        <v>154.46568925975589</v>
      </c>
      <c r="AC61" s="168">
        <f ca="1">IF($C61-AC$1&lt;År1,0,AB60*(1-VLOOKUP($A61,[1]Hugst!$R$5:$W$9,MATCH(ROUNDUP((AC$1)/10,0)*10,[1]Hugst!$R$4:$W$4,0))))</f>
        <v>155.24189875351658</v>
      </c>
      <c r="AD61" s="168">
        <f ca="1">IF($C61-AD$1&lt;År1,0,AC60*(1-VLOOKUP($A61,[1]Hugst!$R$5:$W$9,MATCH(ROUNDUP((AD$1)/10,0)*10,[1]Hugst!$R$4:$W$4,0))))</f>
        <v>156.02200879750671</v>
      </c>
      <c r="AE61" s="168">
        <f ca="1">IF($C61-AE$1&lt;År1,0,AD60*(1-VLOOKUP($A61,[1]Hugst!$R$5:$W$9,MATCH(ROUNDUP((AE$1)/10,0)*10,[1]Hugst!$R$4:$W$4,0))))</f>
        <v>156.80603899246489</v>
      </c>
      <c r="AF61" s="168">
        <f ca="1">IF($C61-AF$1&lt;År1,0,AE60*(1-VLOOKUP($A61,[1]Hugst!$R$5:$W$9,MATCH(ROUNDUP((AF$1)/10,0)*10,[1]Hugst!$R$4:$W$4,0))))</f>
        <v>157.59400903765709</v>
      </c>
      <c r="AG61" s="168">
        <f ca="1">IF($C61-AG$1&lt;År1,0,AF60*(1-VLOOKUP($A61,[1]Hugst!$R$5:$W$9,MATCH(ROUNDUP((AG$1)/10,0)*10,[1]Hugst!$R$4:$W$4,0))))</f>
        <v>158.38593873131322</v>
      </c>
      <c r="AH61" s="168">
        <f ca="1">IF($C61-AH$1&lt;År1,0,AG60*(1-VLOOKUP($A61,[1]Hugst!$R$5:$W$9,MATCH(ROUNDUP((AH$1)/10,0)*10,[1]Hugst!$R$4:$W$4,0))))</f>
        <v>159.18184797116919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174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137.64577450669822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137.64577450669822</v>
      </c>
      <c r="G62" s="168">
        <f ca="1">IF($C62-G$1&lt;År1,0,F61*(1-VLOOKUP($A62,[1]Hugst!$R$5:$W$9,MATCH(ROUNDUP((G$1)/10,0)*10,[1]Hugst!$R$4:$W$4,0))))</f>
        <v>138.33746181577226</v>
      </c>
      <c r="H62" s="168">
        <f ca="1">IF($C62-H$1&lt;År1,0,G61*(1-VLOOKUP($A62,[1]Hugst!$R$5:$W$9,MATCH(ROUNDUP((H$1)/10,0)*10,[1]Hugst!$R$4:$W$4,0))))</f>
        <v>139.03262494047158</v>
      </c>
      <c r="I62" s="168">
        <f ca="1">IF($C62-I$1&lt;År1,0,H61*(1-VLOOKUP($A62,[1]Hugst!$R$5:$W$9,MATCH(ROUNDUP((I$1)/10,0)*10,[1]Hugst!$R$4:$W$4,0))))</f>
        <v>139.73128134721628</v>
      </c>
      <c r="J62" s="168">
        <f ca="1">IF($C62-J$1&lt;År1,0,I61*(1-VLOOKUP($A62,[1]Hugst!$R$5:$W$9,MATCH(ROUNDUP((J$1)/10,0)*10,[1]Hugst!$R$4:$W$4,0))))</f>
        <v>140.43344859016361</v>
      </c>
      <c r="K62" s="168">
        <f ca="1">IF($C62-K$1&lt;År1,0,J61*(1-VLOOKUP($A62,[1]Hugst!$R$5:$W$9,MATCH(ROUNDUP((K$1)/10,0)*10,[1]Hugst!$R$4:$W$4,0))))</f>
        <v>141.13914431172088</v>
      </c>
      <c r="L62" s="168">
        <f ca="1">IF($C62-L$1&lt;År1,0,K61*(1-VLOOKUP($A62,[1]Hugst!$R$5:$W$9,MATCH(ROUNDUP((L$1)/10,0)*10,[1]Hugst!$R$4:$W$4,0))))</f>
        <v>141.84838624293843</v>
      </c>
      <c r="M62" s="168">
        <f ca="1">IF($C62-M$1&lt;År1,0,L61*(1-VLOOKUP($A62,[1]Hugst!$R$5:$W$9,MATCH(ROUNDUP((M$1)/10,0)*10,[1]Hugst!$R$4:$W$4,0))))</f>
        <v>142.56119220395703</v>
      </c>
      <c r="N62" s="168">
        <f ca="1">IF($C62-N$1&lt;År1,0,M61*(1-VLOOKUP($A62,[1]Hugst!$R$5:$W$9,MATCH(ROUNDUP((N$1)/10,0)*10,[1]Hugst!$R$4:$W$4,0))))</f>
        <v>143.27758010448088</v>
      </c>
      <c r="O62" s="168">
        <f ca="1">IF($C62-O$1&lt;År1,0,N61*(1-VLOOKUP($A62,[1]Hugst!$R$5:$W$9,MATCH(ROUNDUP((O$1)/10,0)*10,[1]Hugst!$R$4:$W$4,0))))</f>
        <v>143.99756794419955</v>
      </c>
      <c r="P62" s="168">
        <f ca="1">IF($C62-P$1&lt;År1,0,O61*(1-VLOOKUP($A62,[1]Hugst!$R$5:$W$9,MATCH(ROUNDUP((P$1)/10,0)*10,[1]Hugst!$R$4:$W$4,0))))</f>
        <v>144.72117381326461</v>
      </c>
      <c r="Q62" s="168">
        <f ca="1">IF($C62-Q$1&lt;År1,0,P61*(1-VLOOKUP($A62,[1]Hugst!$R$5:$W$9,MATCH(ROUNDUP((Q$1)/10,0)*10,[1]Hugst!$R$4:$W$4,0))))</f>
        <v>145.44841589273346</v>
      </c>
      <c r="R62" s="168">
        <f ca="1">IF($C62-R$1&lt;År1,0,Q61*(1-VLOOKUP($A62,[1]Hugst!$R$5:$W$9,MATCH(ROUNDUP((R$1)/10,0)*10,[1]Hugst!$R$4:$W$4,0))))</f>
        <v>146.17931245500586</v>
      </c>
      <c r="S62" s="168">
        <f ca="1">IF($C62-S$1&lt;År1,0,R61*(1-VLOOKUP($A62,[1]Hugst!$R$5:$W$9,MATCH(ROUNDUP((S$1)/10,0)*10,[1]Hugst!$R$4:$W$4,0))))</f>
        <v>146.91388186432596</v>
      </c>
      <c r="T62" s="168">
        <f ca="1">IF($C62-T$1&lt;År1,0,S61*(1-VLOOKUP($A62,[1]Hugst!$R$5:$W$9,MATCH(ROUNDUP((T$1)/10,0)*10,[1]Hugst!$R$4:$W$4,0))))</f>
        <v>147.65214257721527</v>
      </c>
      <c r="U62" s="168">
        <f ca="1">IF($C62-U$1&lt;År1,0,T61*(1-VLOOKUP($A62,[1]Hugst!$R$5:$W$9,MATCH(ROUNDUP((U$1)/10,0)*10,[1]Hugst!$R$4:$W$4,0))))</f>
        <v>148.39411314292738</v>
      </c>
      <c r="V62" s="168">
        <f ca="1">IF($C62-V$1&lt;År1,0,U61*(1-VLOOKUP($A62,[1]Hugst!$R$5:$W$9,MATCH(ROUNDUP((V$1)/10,0)*10,[1]Hugst!$R$4:$W$4,0))))</f>
        <v>149.13981220394635</v>
      </c>
      <c r="W62" s="168">
        <f ca="1">IF($C62-W$1&lt;År1,0,V61*(1-VLOOKUP($A62,[1]Hugst!$R$5:$W$9,MATCH(ROUNDUP((W$1)/10,0)*10,[1]Hugst!$R$4:$W$4,0))))</f>
        <v>149.88925849643056</v>
      </c>
      <c r="X62" s="168">
        <f ca="1">IF($C62-X$1&lt;År1,0,W61*(1-VLOOKUP($A62,[1]Hugst!$R$5:$W$9,MATCH(ROUNDUP((X$1)/10,0)*10,[1]Hugst!$R$4:$W$4,0))))</f>
        <v>150.64247085067836</v>
      </c>
      <c r="Y62" s="168">
        <f ca="1">IF($C62-Y$1&lt;År1,0,X61*(1-VLOOKUP($A62,[1]Hugst!$R$5:$W$9,MATCH(ROUNDUP((Y$1)/10,0)*10,[1]Hugst!$R$4:$W$4,0))))</f>
        <v>151.3994681916447</v>
      </c>
      <c r="Z62" s="168">
        <f ca="1">IF($C62-Z$1&lt;År1,0,Y61*(1-VLOOKUP($A62,[1]Hugst!$R$5:$W$9,MATCH(ROUNDUP((Z$1)/10,0)*10,[1]Hugst!$R$4:$W$4,0))))</f>
        <v>152.16026953933761</v>
      </c>
      <c r="AA62" s="168">
        <f ca="1">IF($C62-AA$1&lt;År1,0,Z61*(1-VLOOKUP($A62,[1]Hugst!$R$5:$W$9,MATCH(ROUNDUP((AA$1)/10,0)*10,[1]Hugst!$R$4:$W$4,0))))</f>
        <v>152.92489400938575</v>
      </c>
      <c r="AB62" s="168">
        <f ca="1">IF($C62-AB$1&lt;År1,0,AA61*(1-VLOOKUP($A62,[1]Hugst!$R$5:$W$9,MATCH(ROUNDUP((AB$1)/10,0)*10,[1]Hugst!$R$4:$W$4,0))))</f>
        <v>153.69336081344954</v>
      </c>
      <c r="AC62" s="168">
        <f ca="1">IF($C62-AC$1&lt;År1,0,AB61*(1-VLOOKUP($A62,[1]Hugst!$R$5:$W$9,MATCH(ROUNDUP((AC$1)/10,0)*10,[1]Hugst!$R$4:$W$4,0))))</f>
        <v>154.46568925975589</v>
      </c>
      <c r="AD62" s="168">
        <f ca="1">IF($C62-AD$1&lt;År1,0,AC61*(1-VLOOKUP($A62,[1]Hugst!$R$5:$W$9,MATCH(ROUNDUP((AD$1)/10,0)*10,[1]Hugst!$R$4:$W$4,0))))</f>
        <v>155.24189875351658</v>
      </c>
      <c r="AE62" s="168">
        <f ca="1">IF($C62-AE$1&lt;År1,0,AD61*(1-VLOOKUP($A62,[1]Hugst!$R$5:$W$9,MATCH(ROUNDUP((AE$1)/10,0)*10,[1]Hugst!$R$4:$W$4,0))))</f>
        <v>156.02200879750671</v>
      </c>
      <c r="AF62" s="168">
        <f ca="1">IF($C62-AF$1&lt;År1,0,AE61*(1-VLOOKUP($A62,[1]Hugst!$R$5:$W$9,MATCH(ROUNDUP((AF$1)/10,0)*10,[1]Hugst!$R$4:$W$4,0))))</f>
        <v>156.80603899246489</v>
      </c>
      <c r="AG62" s="168">
        <f ca="1">IF($C62-AG$1&lt;År1,0,AF61*(1-VLOOKUP($A62,[1]Hugst!$R$5:$W$9,MATCH(ROUNDUP((AG$1)/10,0)*10,[1]Hugst!$R$4:$W$4,0))))</f>
        <v>157.59400903765709</v>
      </c>
      <c r="AH62" s="168">
        <f ca="1">IF($C62-AH$1&lt;År1,0,AG61*(1-VLOOKUP($A62,[1]Hugst!$R$5:$W$9,MATCH(ROUNDUP((AH$1)/10,0)*10,[1]Hugst!$R$4:$W$4,0))))</f>
        <v>158.38593873131322</v>
      </c>
      <c r="AI62" s="168">
        <f ca="1">IF($C62-AI$1&lt;År1,0,AH61*(1-VLOOKUP($A62,[1]Hugst!$R$5:$W$9,MATCH(ROUNDUP((AI$1)/10,0)*10,[1]Hugst!$R$4:$W$4,0))))</f>
        <v>159.18184797116919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174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136.95754563416267</v>
      </c>
      <c r="E63" s="168">
        <f t="shared" ca="1" si="0"/>
        <v>0.52496141352185077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137.48250704768452</v>
      </c>
      <c r="G63" s="168">
        <f ca="1">IF($C63-G$1&lt;År1,0,F62*(1-VLOOKUP($A63,[1]Hugst!$R$5:$W$9,MATCH(ROUNDUP((G$1)/10,0)*10,[1]Hugst!$R$4:$W$4,0))))</f>
        <v>137.64577450669822</v>
      </c>
      <c r="H63" s="168">
        <f ca="1">IF($C63-H$1&lt;År1,0,G62*(1-VLOOKUP($A63,[1]Hugst!$R$5:$W$9,MATCH(ROUNDUP((H$1)/10,0)*10,[1]Hugst!$R$4:$W$4,0))))</f>
        <v>138.33746181577226</v>
      </c>
      <c r="I63" s="168">
        <f ca="1">IF($C63-I$1&lt;År1,0,H62*(1-VLOOKUP($A63,[1]Hugst!$R$5:$W$9,MATCH(ROUNDUP((I$1)/10,0)*10,[1]Hugst!$R$4:$W$4,0))))</f>
        <v>139.03262494047158</v>
      </c>
      <c r="J63" s="168">
        <f ca="1">IF($C63-J$1&lt;År1,0,I62*(1-VLOOKUP($A63,[1]Hugst!$R$5:$W$9,MATCH(ROUNDUP((J$1)/10,0)*10,[1]Hugst!$R$4:$W$4,0))))</f>
        <v>139.73128134721628</v>
      </c>
      <c r="K63" s="168">
        <f ca="1">IF($C63-K$1&lt;År1,0,J62*(1-VLOOKUP($A63,[1]Hugst!$R$5:$W$9,MATCH(ROUNDUP((K$1)/10,0)*10,[1]Hugst!$R$4:$W$4,0))))</f>
        <v>140.43344859016361</v>
      </c>
      <c r="L63" s="168">
        <f ca="1">IF($C63-L$1&lt;År1,0,K62*(1-VLOOKUP($A63,[1]Hugst!$R$5:$W$9,MATCH(ROUNDUP((L$1)/10,0)*10,[1]Hugst!$R$4:$W$4,0))))</f>
        <v>141.13914431172088</v>
      </c>
      <c r="M63" s="168">
        <f ca="1">IF($C63-M$1&lt;År1,0,L62*(1-VLOOKUP($A63,[1]Hugst!$R$5:$W$9,MATCH(ROUNDUP((M$1)/10,0)*10,[1]Hugst!$R$4:$W$4,0))))</f>
        <v>141.84838624293843</v>
      </c>
      <c r="N63" s="168">
        <f ca="1">IF($C63-N$1&lt;År1,0,M62*(1-VLOOKUP($A63,[1]Hugst!$R$5:$W$9,MATCH(ROUNDUP((N$1)/10,0)*10,[1]Hugst!$R$4:$W$4,0))))</f>
        <v>142.56119220395703</v>
      </c>
      <c r="O63" s="168">
        <f ca="1">IF($C63-O$1&lt;År1,0,N62*(1-VLOOKUP($A63,[1]Hugst!$R$5:$W$9,MATCH(ROUNDUP((O$1)/10,0)*10,[1]Hugst!$R$4:$W$4,0))))</f>
        <v>143.27758010448088</v>
      </c>
      <c r="P63" s="168">
        <f ca="1">IF($C63-P$1&lt;År1,0,O62*(1-VLOOKUP($A63,[1]Hugst!$R$5:$W$9,MATCH(ROUNDUP((P$1)/10,0)*10,[1]Hugst!$R$4:$W$4,0))))</f>
        <v>143.99756794419955</v>
      </c>
      <c r="Q63" s="168">
        <f ca="1">IF($C63-Q$1&lt;År1,0,P62*(1-VLOOKUP($A63,[1]Hugst!$R$5:$W$9,MATCH(ROUNDUP((Q$1)/10,0)*10,[1]Hugst!$R$4:$W$4,0))))</f>
        <v>144.72117381326461</v>
      </c>
      <c r="R63" s="168">
        <f ca="1">IF($C63-R$1&lt;År1,0,Q62*(1-VLOOKUP($A63,[1]Hugst!$R$5:$W$9,MATCH(ROUNDUP((R$1)/10,0)*10,[1]Hugst!$R$4:$W$4,0))))</f>
        <v>145.44841589273346</v>
      </c>
      <c r="S63" s="168">
        <f ca="1">IF($C63-S$1&lt;År1,0,R62*(1-VLOOKUP($A63,[1]Hugst!$R$5:$W$9,MATCH(ROUNDUP((S$1)/10,0)*10,[1]Hugst!$R$4:$W$4,0))))</f>
        <v>146.17931245500586</v>
      </c>
      <c r="T63" s="168">
        <f ca="1">IF($C63-T$1&lt;År1,0,S62*(1-VLOOKUP($A63,[1]Hugst!$R$5:$W$9,MATCH(ROUNDUP((T$1)/10,0)*10,[1]Hugst!$R$4:$W$4,0))))</f>
        <v>146.91388186432596</v>
      </c>
      <c r="U63" s="168">
        <f ca="1">IF($C63-U$1&lt;År1,0,T62*(1-VLOOKUP($A63,[1]Hugst!$R$5:$W$9,MATCH(ROUNDUP((U$1)/10,0)*10,[1]Hugst!$R$4:$W$4,0))))</f>
        <v>147.65214257721527</v>
      </c>
      <c r="V63" s="168">
        <f ca="1">IF($C63-V$1&lt;År1,0,U62*(1-VLOOKUP($A63,[1]Hugst!$R$5:$W$9,MATCH(ROUNDUP((V$1)/10,0)*10,[1]Hugst!$R$4:$W$4,0))))</f>
        <v>148.39411314292738</v>
      </c>
      <c r="W63" s="168">
        <f ca="1">IF($C63-W$1&lt;År1,0,V62*(1-VLOOKUP($A63,[1]Hugst!$R$5:$W$9,MATCH(ROUNDUP((W$1)/10,0)*10,[1]Hugst!$R$4:$W$4,0))))</f>
        <v>149.13981220394635</v>
      </c>
      <c r="X63" s="168">
        <f ca="1">IF($C63-X$1&lt;År1,0,W62*(1-VLOOKUP($A63,[1]Hugst!$R$5:$W$9,MATCH(ROUNDUP((X$1)/10,0)*10,[1]Hugst!$R$4:$W$4,0))))</f>
        <v>149.88925849643056</v>
      </c>
      <c r="Y63" s="168">
        <f ca="1">IF($C63-Y$1&lt;År1,0,X62*(1-VLOOKUP($A63,[1]Hugst!$R$5:$W$9,MATCH(ROUNDUP((Y$1)/10,0)*10,[1]Hugst!$R$4:$W$4,0))))</f>
        <v>150.64247085067836</v>
      </c>
      <c r="Z63" s="168">
        <f ca="1">IF($C63-Z$1&lt;År1,0,Y62*(1-VLOOKUP($A63,[1]Hugst!$R$5:$W$9,MATCH(ROUNDUP((Z$1)/10,0)*10,[1]Hugst!$R$4:$W$4,0))))</f>
        <v>151.3994681916447</v>
      </c>
      <c r="AA63" s="168">
        <f ca="1">IF($C63-AA$1&lt;År1,0,Z62*(1-VLOOKUP($A63,[1]Hugst!$R$5:$W$9,MATCH(ROUNDUP((AA$1)/10,0)*10,[1]Hugst!$R$4:$W$4,0))))</f>
        <v>152.16026953933761</v>
      </c>
      <c r="AB63" s="168">
        <f ca="1">IF($C63-AB$1&lt;År1,0,AA62*(1-VLOOKUP($A63,[1]Hugst!$R$5:$W$9,MATCH(ROUNDUP((AB$1)/10,0)*10,[1]Hugst!$R$4:$W$4,0))))</f>
        <v>152.92489400938575</v>
      </c>
      <c r="AC63" s="168">
        <f ca="1">IF($C63-AC$1&lt;År1,0,AB62*(1-VLOOKUP($A63,[1]Hugst!$R$5:$W$9,MATCH(ROUNDUP((AC$1)/10,0)*10,[1]Hugst!$R$4:$W$4,0))))</f>
        <v>153.69336081344954</v>
      </c>
      <c r="AD63" s="168">
        <f ca="1">IF($C63-AD$1&lt;År1,0,AC62*(1-VLOOKUP($A63,[1]Hugst!$R$5:$W$9,MATCH(ROUNDUP((AD$1)/10,0)*10,[1]Hugst!$R$4:$W$4,0))))</f>
        <v>154.46568925975589</v>
      </c>
      <c r="AE63" s="168">
        <f ca="1">IF($C63-AE$1&lt;År1,0,AD62*(1-VLOOKUP($A63,[1]Hugst!$R$5:$W$9,MATCH(ROUNDUP((AE$1)/10,0)*10,[1]Hugst!$R$4:$W$4,0))))</f>
        <v>155.24189875351658</v>
      </c>
      <c r="AF63" s="168">
        <f ca="1">IF($C63-AF$1&lt;År1,0,AE62*(1-VLOOKUP($A63,[1]Hugst!$R$5:$W$9,MATCH(ROUNDUP((AF$1)/10,0)*10,[1]Hugst!$R$4:$W$4,0))))</f>
        <v>156.02200879750671</v>
      </c>
      <c r="AG63" s="168">
        <f ca="1">IF($C63-AG$1&lt;År1,0,AF62*(1-VLOOKUP($A63,[1]Hugst!$R$5:$W$9,MATCH(ROUNDUP((AG$1)/10,0)*10,[1]Hugst!$R$4:$W$4,0))))</f>
        <v>156.80603899246489</v>
      </c>
      <c r="AH63" s="168">
        <f ca="1">IF($C63-AH$1&lt;År1,0,AG62*(1-VLOOKUP($A63,[1]Hugst!$R$5:$W$9,MATCH(ROUNDUP((AH$1)/10,0)*10,[1]Hugst!$R$4:$W$4,0))))</f>
        <v>157.59400903765709</v>
      </c>
      <c r="AI63" s="168">
        <f ca="1">IF($C63-AI$1&lt;År1,0,AH62*(1-VLOOKUP($A63,[1]Hugst!$R$5:$W$9,MATCH(ROUNDUP((AI$1)/10,0)*10,[1]Hugst!$R$4:$W$4,0))))</f>
        <v>158.38593873131322</v>
      </c>
      <c r="AJ63" s="168">
        <f ca="1">IF($C63-AJ$1&lt;År1,0,AI62*(1-VLOOKUP($A63,[1]Hugst!$R$5:$W$9,MATCH(ROUNDUP((AJ$1)/10,0)*10,[1]Hugst!$R$4:$W$4,0))))</f>
        <v>158.65688655764725</v>
      </c>
      <c r="AL63" s="168">
        <f ca="1">SUM(F63:AJ63)</f>
        <v>4581.8180130355104</v>
      </c>
    </row>
    <row r="64" spans="1:39" x14ac:dyDescent="0.25">
      <c r="A64" s="168" t="s">
        <v>175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543.83065202883154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543.83065202883154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175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541.11149876867421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541.11149876867421</v>
      </c>
      <c r="G65" s="168">
        <f ca="1">IF($C65-G$1&lt;År1,0,F64*(1-VLOOKUP($A65,[1]Hugst!$R$5:$W$9,MATCH(ROUNDUP((G$1)/10,0)*10,[1]Hugst!$R$4:$W$4,0))))</f>
        <v>543.83065202883154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175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538.40594127484655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538.40594127484655</v>
      </c>
      <c r="G66" s="168">
        <f ca="1">IF($C66-G$1&lt;År1,0,F65*(1-VLOOKUP($A66,[1]Hugst!$R$5:$W$9,MATCH(ROUNDUP((G$1)/10,0)*10,[1]Hugst!$R$4:$W$4,0))))</f>
        <v>541.11149876867421</v>
      </c>
      <c r="H66" s="168">
        <f ca="1">IF($C66-H$1&lt;År1,0,G65*(1-VLOOKUP($A66,[1]Hugst!$R$5:$W$9,MATCH(ROUNDUP((H$1)/10,0)*10,[1]Hugst!$R$4:$W$4,0))))</f>
        <v>543.83065202883154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175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535.71391156846948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535.71391156846948</v>
      </c>
      <c r="G67" s="168">
        <f ca="1">IF($C67-G$1&lt;År1,0,F66*(1-VLOOKUP($A67,[1]Hugst!$R$5:$W$9,MATCH(ROUNDUP((G$1)/10,0)*10,[1]Hugst!$R$4:$W$4,0))))</f>
        <v>538.40594127484655</v>
      </c>
      <c r="H67" s="168">
        <f ca="1">IF($C67-H$1&lt;År1,0,G66*(1-VLOOKUP($A67,[1]Hugst!$R$5:$W$9,MATCH(ROUNDUP((H$1)/10,0)*10,[1]Hugst!$R$4:$W$4,0))))</f>
        <v>541.11149876867421</v>
      </c>
      <c r="I67" s="168">
        <f ca="1">IF($C67-I$1&lt;År1,0,H66*(1-VLOOKUP($A67,[1]Hugst!$R$5:$W$9,MATCH(ROUNDUP((I$1)/10,0)*10,[1]Hugst!$R$4:$W$4,0))))</f>
        <v>543.83065202883154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175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533.03534201062575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533.03534201062575</v>
      </c>
      <c r="G68" s="168">
        <f ca="1">IF($C68-G$1&lt;År1,0,F67*(1-VLOOKUP($A68,[1]Hugst!$R$5:$W$9,MATCH(ROUNDUP((G$1)/10,0)*10,[1]Hugst!$R$4:$W$4,0))))</f>
        <v>535.71391156846948</v>
      </c>
      <c r="H68" s="168">
        <f ca="1">IF($C68-H$1&lt;År1,0,G67*(1-VLOOKUP($A68,[1]Hugst!$R$5:$W$9,MATCH(ROUNDUP((H$1)/10,0)*10,[1]Hugst!$R$4:$W$4,0))))</f>
        <v>538.40594127484655</v>
      </c>
      <c r="I68" s="168">
        <f ca="1">IF($C68-I$1&lt;År1,0,H67*(1-VLOOKUP($A68,[1]Hugst!$R$5:$W$9,MATCH(ROUNDUP((I$1)/10,0)*10,[1]Hugst!$R$4:$W$4,0))))</f>
        <v>541.11149876867421</v>
      </c>
      <c r="J68" s="168">
        <f ca="1">IF($C68-J$1&lt;År1,0,I67*(1-VLOOKUP($A68,[1]Hugst!$R$5:$W$9,MATCH(ROUNDUP((J$1)/10,0)*10,[1]Hugst!$R$4:$W$4,0))))</f>
        <v>543.83065202883154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175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530.37016530057008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530.37016530057008</v>
      </c>
      <c r="G69" s="168">
        <f ca="1">IF($C69-G$1&lt;År1,0,F68*(1-VLOOKUP($A69,[1]Hugst!$R$5:$W$9,MATCH(ROUNDUP((G$1)/10,0)*10,[1]Hugst!$R$4:$W$4,0))))</f>
        <v>533.03534201062575</v>
      </c>
      <c r="H69" s="168">
        <f ca="1">IF($C69-H$1&lt;År1,0,G68*(1-VLOOKUP($A69,[1]Hugst!$R$5:$W$9,MATCH(ROUNDUP((H$1)/10,0)*10,[1]Hugst!$R$4:$W$4,0))))</f>
        <v>535.71391156846948</v>
      </c>
      <c r="I69" s="168">
        <f ca="1">IF($C69-I$1&lt;År1,0,H68*(1-VLOOKUP($A69,[1]Hugst!$R$5:$W$9,MATCH(ROUNDUP((I$1)/10,0)*10,[1]Hugst!$R$4:$W$4,0))))</f>
        <v>538.40594127484655</v>
      </c>
      <c r="J69" s="168">
        <f ca="1">IF($C69-J$1&lt;År1,0,I68*(1-VLOOKUP($A69,[1]Hugst!$R$5:$W$9,MATCH(ROUNDUP((J$1)/10,0)*10,[1]Hugst!$R$4:$W$4,0))))</f>
        <v>541.11149876867421</v>
      </c>
      <c r="K69" s="168">
        <f ca="1">IF($C69-K$1&lt;År1,0,J68*(1-VLOOKUP($A69,[1]Hugst!$R$5:$W$9,MATCH(ROUNDUP((K$1)/10,0)*10,[1]Hugst!$R$4:$W$4,0))))</f>
        <v>543.83065202883154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175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527.71831447407021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527.71831447407021</v>
      </c>
      <c r="G70" s="168">
        <f ca="1">IF($C70-G$1&lt;År1,0,F69*(1-VLOOKUP($A70,[1]Hugst!$R$5:$W$9,MATCH(ROUNDUP((G$1)/10,0)*10,[1]Hugst!$R$4:$W$4,0))))</f>
        <v>530.37016530057008</v>
      </c>
      <c r="H70" s="168">
        <f ca="1">IF($C70-H$1&lt;År1,0,G69*(1-VLOOKUP($A70,[1]Hugst!$R$5:$W$9,MATCH(ROUNDUP((H$1)/10,0)*10,[1]Hugst!$R$4:$W$4,0))))</f>
        <v>533.03534201062575</v>
      </c>
      <c r="I70" s="168">
        <f ca="1">IF($C70-I$1&lt;År1,0,H69*(1-VLOOKUP($A70,[1]Hugst!$R$5:$W$9,MATCH(ROUNDUP((I$1)/10,0)*10,[1]Hugst!$R$4:$W$4,0))))</f>
        <v>535.71391156846948</v>
      </c>
      <c r="J70" s="168">
        <f ca="1">IF($C70-J$1&lt;År1,0,I69*(1-VLOOKUP($A70,[1]Hugst!$R$5:$W$9,MATCH(ROUNDUP((J$1)/10,0)*10,[1]Hugst!$R$4:$W$4,0))))</f>
        <v>538.40594127484655</v>
      </c>
      <c r="K70" s="168">
        <f ca="1">IF($C70-K$1&lt;År1,0,J69*(1-VLOOKUP($A70,[1]Hugst!$R$5:$W$9,MATCH(ROUNDUP((K$1)/10,0)*10,[1]Hugst!$R$4:$W$4,0))))</f>
        <v>541.11149876867421</v>
      </c>
      <c r="L70" s="168">
        <f ca="1">IF($C70-L$1&lt;År1,0,K69*(1-VLOOKUP($A70,[1]Hugst!$R$5:$W$9,MATCH(ROUNDUP((L$1)/10,0)*10,[1]Hugst!$R$4:$W$4,0))))</f>
        <v>543.83065202883154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175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525.07972290170437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525.07972290170437</v>
      </c>
      <c r="G71" s="168">
        <f ca="1">IF($C71-G$1&lt;År1,0,F70*(1-VLOOKUP($A71,[1]Hugst!$R$5:$W$9,MATCH(ROUNDUP((G$1)/10,0)*10,[1]Hugst!$R$4:$W$4,0))))</f>
        <v>527.71831447407021</v>
      </c>
      <c r="H71" s="168">
        <f ca="1">IF($C71-H$1&lt;År1,0,G70*(1-VLOOKUP($A71,[1]Hugst!$R$5:$W$9,MATCH(ROUNDUP((H$1)/10,0)*10,[1]Hugst!$R$4:$W$4,0))))</f>
        <v>530.37016530057008</v>
      </c>
      <c r="I71" s="168">
        <f ca="1">IF($C71-I$1&lt;År1,0,H70*(1-VLOOKUP($A71,[1]Hugst!$R$5:$W$9,MATCH(ROUNDUP((I$1)/10,0)*10,[1]Hugst!$R$4:$W$4,0))))</f>
        <v>533.03534201062575</v>
      </c>
      <c r="J71" s="168">
        <f ca="1">IF($C71-J$1&lt;År1,0,I70*(1-VLOOKUP($A71,[1]Hugst!$R$5:$W$9,MATCH(ROUNDUP((J$1)/10,0)*10,[1]Hugst!$R$4:$W$4,0))))</f>
        <v>535.71391156846948</v>
      </c>
      <c r="K71" s="168">
        <f ca="1">IF($C71-K$1&lt;År1,0,J70*(1-VLOOKUP($A71,[1]Hugst!$R$5:$W$9,MATCH(ROUNDUP((K$1)/10,0)*10,[1]Hugst!$R$4:$W$4,0))))</f>
        <v>538.40594127484655</v>
      </c>
      <c r="L71" s="168">
        <f ca="1">IF($C71-L$1&lt;År1,0,K70*(1-VLOOKUP($A71,[1]Hugst!$R$5:$W$9,MATCH(ROUNDUP((L$1)/10,0)*10,[1]Hugst!$R$4:$W$4,0))))</f>
        <v>541.11149876867421</v>
      </c>
      <c r="M71" s="168">
        <f ca="1">IF($C71-M$1&lt;År1,0,L70*(1-VLOOKUP($A71,[1]Hugst!$R$5:$W$9,MATCH(ROUNDUP((M$1)/10,0)*10,[1]Hugst!$R$4:$W$4,0))))</f>
        <v>543.83065202883154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175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522.45432428720233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522.45432428720233</v>
      </c>
      <c r="G72" s="168">
        <f ca="1">IF($C72-G$1&lt;År1,0,F71*(1-VLOOKUP($A72,[1]Hugst!$R$5:$W$9,MATCH(ROUNDUP((G$1)/10,0)*10,[1]Hugst!$R$4:$W$4,0))))</f>
        <v>525.07972290170437</v>
      </c>
      <c r="H72" s="168">
        <f ca="1">IF($C72-H$1&lt;År1,0,G71*(1-VLOOKUP($A72,[1]Hugst!$R$5:$W$9,MATCH(ROUNDUP((H$1)/10,0)*10,[1]Hugst!$R$4:$W$4,0))))</f>
        <v>527.71831447407021</v>
      </c>
      <c r="I72" s="168">
        <f ca="1">IF($C72-I$1&lt;År1,0,H71*(1-VLOOKUP($A72,[1]Hugst!$R$5:$W$9,MATCH(ROUNDUP((I$1)/10,0)*10,[1]Hugst!$R$4:$W$4,0))))</f>
        <v>530.37016530057008</v>
      </c>
      <c r="J72" s="168">
        <f ca="1">IF($C72-J$1&lt;År1,0,I71*(1-VLOOKUP($A72,[1]Hugst!$R$5:$W$9,MATCH(ROUNDUP((J$1)/10,0)*10,[1]Hugst!$R$4:$W$4,0))))</f>
        <v>533.03534201062575</v>
      </c>
      <c r="K72" s="168">
        <f ca="1">IF($C72-K$1&lt;År1,0,J71*(1-VLOOKUP($A72,[1]Hugst!$R$5:$W$9,MATCH(ROUNDUP((K$1)/10,0)*10,[1]Hugst!$R$4:$W$4,0))))</f>
        <v>535.71391156846948</v>
      </c>
      <c r="L72" s="168">
        <f ca="1">IF($C72-L$1&lt;År1,0,K71*(1-VLOOKUP($A72,[1]Hugst!$R$5:$W$9,MATCH(ROUNDUP((L$1)/10,0)*10,[1]Hugst!$R$4:$W$4,0))))</f>
        <v>538.40594127484655</v>
      </c>
      <c r="M72" s="168">
        <f ca="1">IF($C72-M$1&lt;År1,0,L71*(1-VLOOKUP($A72,[1]Hugst!$R$5:$W$9,MATCH(ROUNDUP((M$1)/10,0)*10,[1]Hugst!$R$4:$W$4,0))))</f>
        <v>541.11149876867421</v>
      </c>
      <c r="N72" s="168">
        <f ca="1">IF($C72-N$1&lt;År1,0,M71*(1-VLOOKUP($A72,[1]Hugst!$R$5:$W$9,MATCH(ROUNDUP((N$1)/10,0)*10,[1]Hugst!$R$4:$W$4,0))))</f>
        <v>543.83065202883154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175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519.84205266574281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519.84205266574281</v>
      </c>
      <c r="G73" s="168">
        <f ca="1">IF($C73-G$1&lt;År1,0,F72*(1-VLOOKUP($A73,[1]Hugst!$R$5:$W$9,MATCH(ROUNDUP((G$1)/10,0)*10,[1]Hugst!$R$4:$W$4,0))))</f>
        <v>522.45432428720233</v>
      </c>
      <c r="H73" s="168">
        <f ca="1">IF($C73-H$1&lt;År1,0,G72*(1-VLOOKUP($A73,[1]Hugst!$R$5:$W$9,MATCH(ROUNDUP((H$1)/10,0)*10,[1]Hugst!$R$4:$W$4,0))))</f>
        <v>525.07972290170437</v>
      </c>
      <c r="I73" s="168">
        <f ca="1">IF($C73-I$1&lt;År1,0,H72*(1-VLOOKUP($A73,[1]Hugst!$R$5:$W$9,MATCH(ROUNDUP((I$1)/10,0)*10,[1]Hugst!$R$4:$W$4,0))))</f>
        <v>527.71831447407021</v>
      </c>
      <c r="J73" s="168">
        <f ca="1">IF($C73-J$1&lt;År1,0,I72*(1-VLOOKUP($A73,[1]Hugst!$R$5:$W$9,MATCH(ROUNDUP((J$1)/10,0)*10,[1]Hugst!$R$4:$W$4,0))))</f>
        <v>530.37016530057008</v>
      </c>
      <c r="K73" s="168">
        <f ca="1">IF($C73-K$1&lt;År1,0,J72*(1-VLOOKUP($A73,[1]Hugst!$R$5:$W$9,MATCH(ROUNDUP((K$1)/10,0)*10,[1]Hugst!$R$4:$W$4,0))))</f>
        <v>533.03534201062575</v>
      </c>
      <c r="L73" s="168">
        <f ca="1">IF($C73-L$1&lt;År1,0,K72*(1-VLOOKUP($A73,[1]Hugst!$R$5:$W$9,MATCH(ROUNDUP((L$1)/10,0)*10,[1]Hugst!$R$4:$W$4,0))))</f>
        <v>535.71391156846948</v>
      </c>
      <c r="M73" s="168">
        <f ca="1">IF($C73-M$1&lt;År1,0,L72*(1-VLOOKUP($A73,[1]Hugst!$R$5:$W$9,MATCH(ROUNDUP((M$1)/10,0)*10,[1]Hugst!$R$4:$W$4,0))))</f>
        <v>538.40594127484655</v>
      </c>
      <c r="N73" s="168">
        <f ca="1">IF($C73-N$1&lt;År1,0,M72*(1-VLOOKUP($A73,[1]Hugst!$R$5:$W$9,MATCH(ROUNDUP((N$1)/10,0)*10,[1]Hugst!$R$4:$W$4,0))))</f>
        <v>541.11149876867421</v>
      </c>
      <c r="O73" s="168">
        <f ca="1">IF($C73-O$1&lt;År1,0,N72*(1-VLOOKUP($A73,[1]Hugst!$R$5:$W$9,MATCH(ROUNDUP((O$1)/10,0)*10,[1]Hugst!$R$4:$W$4,0))))</f>
        <v>543.83065202883154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175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517.24284240244015</v>
      </c>
      <c r="E74" s="168">
        <f t="shared" ca="1" si="1"/>
        <v>0.82957218106093933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518.07241458350109</v>
      </c>
      <c r="G74" s="168">
        <f ca="1">IF($C74-G$1&lt;År1,0,F73*(1-VLOOKUP($A74,[1]Hugst!$R$5:$W$9,MATCH(ROUNDUP((G$1)/10,0)*10,[1]Hugst!$R$4:$W$4,0))))</f>
        <v>519.84205266574281</v>
      </c>
      <c r="H74" s="168">
        <f ca="1">IF($C74-H$1&lt;År1,0,G73*(1-VLOOKUP($A74,[1]Hugst!$R$5:$W$9,MATCH(ROUNDUP((H$1)/10,0)*10,[1]Hugst!$R$4:$W$4,0))))</f>
        <v>522.45432428720233</v>
      </c>
      <c r="I74" s="168">
        <f ca="1">IF($C74-I$1&lt;År1,0,H73*(1-VLOOKUP($A74,[1]Hugst!$R$5:$W$9,MATCH(ROUNDUP((I$1)/10,0)*10,[1]Hugst!$R$4:$W$4,0))))</f>
        <v>525.07972290170437</v>
      </c>
      <c r="J74" s="168">
        <f ca="1">IF($C74-J$1&lt;År1,0,I73*(1-VLOOKUP($A74,[1]Hugst!$R$5:$W$9,MATCH(ROUNDUP((J$1)/10,0)*10,[1]Hugst!$R$4:$W$4,0))))</f>
        <v>527.71831447407021</v>
      </c>
      <c r="K74" s="168">
        <f ca="1">IF($C74-K$1&lt;År1,0,J73*(1-VLOOKUP($A74,[1]Hugst!$R$5:$W$9,MATCH(ROUNDUP((K$1)/10,0)*10,[1]Hugst!$R$4:$W$4,0))))</f>
        <v>530.37016530057008</v>
      </c>
      <c r="L74" s="168">
        <f ca="1">IF($C74-L$1&lt;År1,0,K73*(1-VLOOKUP($A74,[1]Hugst!$R$5:$W$9,MATCH(ROUNDUP((L$1)/10,0)*10,[1]Hugst!$R$4:$W$4,0))))</f>
        <v>533.03534201062575</v>
      </c>
      <c r="M74" s="168">
        <f ca="1">IF($C74-M$1&lt;År1,0,L73*(1-VLOOKUP($A74,[1]Hugst!$R$5:$W$9,MATCH(ROUNDUP((M$1)/10,0)*10,[1]Hugst!$R$4:$W$4,0))))</f>
        <v>535.71391156846948</v>
      </c>
      <c r="N74" s="168">
        <f ca="1">IF($C74-N$1&lt;År1,0,M73*(1-VLOOKUP($A74,[1]Hugst!$R$5:$W$9,MATCH(ROUNDUP((N$1)/10,0)*10,[1]Hugst!$R$4:$W$4,0))))</f>
        <v>538.40594127484655</v>
      </c>
      <c r="O74" s="168">
        <f ca="1">IF($C74-O$1&lt;År1,0,N73*(1-VLOOKUP($A74,[1]Hugst!$R$5:$W$9,MATCH(ROUNDUP((O$1)/10,0)*10,[1]Hugst!$R$4:$W$4,0))))</f>
        <v>541.11149876867421</v>
      </c>
      <c r="P74" s="168">
        <f ca="1">IF($C74-P$1&lt;År1,0,O73*(1-VLOOKUP($A74,[1]Hugst!$R$5:$W$9,MATCH(ROUNDUP((P$1)/10,0)*10,[1]Hugst!$R$4:$W$4,0))))</f>
        <v>543.0010798477706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175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514.65662819039426</v>
      </c>
      <c r="E75" s="168">
        <f t="shared" ca="1" si="1"/>
        <v>1.6537310521271138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516.31035924252137</v>
      </c>
      <c r="G75" s="168">
        <f ca="1">IF($C75-G$1&lt;År1,0,F74*(1-VLOOKUP($A75,[1]Hugst!$R$5:$W$9,MATCH(ROUNDUP((G$1)/10,0)*10,[1]Hugst!$R$4:$W$4,0))))</f>
        <v>518.07241458350109</v>
      </c>
      <c r="H75" s="168">
        <f ca="1">IF($C75-H$1&lt;År1,0,G74*(1-VLOOKUP($A75,[1]Hugst!$R$5:$W$9,MATCH(ROUNDUP((H$1)/10,0)*10,[1]Hugst!$R$4:$W$4,0))))</f>
        <v>519.84205266574281</v>
      </c>
      <c r="I75" s="168">
        <f ca="1">IF($C75-I$1&lt;År1,0,H74*(1-VLOOKUP($A75,[1]Hugst!$R$5:$W$9,MATCH(ROUNDUP((I$1)/10,0)*10,[1]Hugst!$R$4:$W$4,0))))</f>
        <v>522.45432428720233</v>
      </c>
      <c r="J75" s="168">
        <f ca="1">IF($C75-J$1&lt;År1,0,I74*(1-VLOOKUP($A75,[1]Hugst!$R$5:$W$9,MATCH(ROUNDUP((J$1)/10,0)*10,[1]Hugst!$R$4:$W$4,0))))</f>
        <v>525.07972290170437</v>
      </c>
      <c r="K75" s="168">
        <f ca="1">IF($C75-K$1&lt;År1,0,J74*(1-VLOOKUP($A75,[1]Hugst!$R$5:$W$9,MATCH(ROUNDUP((K$1)/10,0)*10,[1]Hugst!$R$4:$W$4,0))))</f>
        <v>527.71831447407021</v>
      </c>
      <c r="L75" s="168">
        <f ca="1">IF($C75-L$1&lt;År1,0,K74*(1-VLOOKUP($A75,[1]Hugst!$R$5:$W$9,MATCH(ROUNDUP((L$1)/10,0)*10,[1]Hugst!$R$4:$W$4,0))))</f>
        <v>530.37016530057008</v>
      </c>
      <c r="M75" s="168">
        <f ca="1">IF($C75-M$1&lt;År1,0,L74*(1-VLOOKUP($A75,[1]Hugst!$R$5:$W$9,MATCH(ROUNDUP((M$1)/10,0)*10,[1]Hugst!$R$4:$W$4,0))))</f>
        <v>533.03534201062575</v>
      </c>
      <c r="N75" s="168">
        <f ca="1">IF($C75-N$1&lt;År1,0,M74*(1-VLOOKUP($A75,[1]Hugst!$R$5:$W$9,MATCH(ROUNDUP((N$1)/10,0)*10,[1]Hugst!$R$4:$W$4,0))))</f>
        <v>535.71391156846948</v>
      </c>
      <c r="O75" s="168">
        <f ca="1">IF($C75-O$1&lt;År1,0,N74*(1-VLOOKUP($A75,[1]Hugst!$R$5:$W$9,MATCH(ROUNDUP((O$1)/10,0)*10,[1]Hugst!$R$4:$W$4,0))))</f>
        <v>538.40594127484655</v>
      </c>
      <c r="P75" s="168">
        <f ca="1">IF($C75-P$1&lt;År1,0,O74*(1-VLOOKUP($A75,[1]Hugst!$R$5:$W$9,MATCH(ROUNDUP((P$1)/10,0)*10,[1]Hugst!$R$4:$W$4,0))))</f>
        <v>540.28607444851855</v>
      </c>
      <c r="Q75" s="168">
        <f ca="1">IF($C75-Q$1&lt;År1,0,P74*(1-VLOOKUP($A75,[1]Hugst!$R$5:$W$9,MATCH(ROUNDUP((Q$1)/10,0)*10,[1]Hugst!$R$4:$W$4,0))))</f>
        <v>542.17277311579937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175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512.08334504946833</v>
      </c>
      <c r="E76" s="168">
        <f t="shared" ca="1" si="1"/>
        <v>2.4725056100933216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514.55585065956166</v>
      </c>
      <c r="G76" s="168">
        <f ca="1">IF($C76-G$1&lt;År1,0,F75*(1-VLOOKUP($A76,[1]Hugst!$R$5:$W$9,MATCH(ROUNDUP((G$1)/10,0)*10,[1]Hugst!$R$4:$W$4,0))))</f>
        <v>516.31035924252137</v>
      </c>
      <c r="H76" s="168">
        <f ca="1">IF($C76-H$1&lt;År1,0,G75*(1-VLOOKUP($A76,[1]Hugst!$R$5:$W$9,MATCH(ROUNDUP((H$1)/10,0)*10,[1]Hugst!$R$4:$W$4,0))))</f>
        <v>518.07241458350109</v>
      </c>
      <c r="I76" s="168">
        <f ca="1">IF($C76-I$1&lt;År1,0,H75*(1-VLOOKUP($A76,[1]Hugst!$R$5:$W$9,MATCH(ROUNDUP((I$1)/10,0)*10,[1]Hugst!$R$4:$W$4,0))))</f>
        <v>519.84205266574281</v>
      </c>
      <c r="J76" s="168">
        <f ca="1">IF($C76-J$1&lt;År1,0,I75*(1-VLOOKUP($A76,[1]Hugst!$R$5:$W$9,MATCH(ROUNDUP((J$1)/10,0)*10,[1]Hugst!$R$4:$W$4,0))))</f>
        <v>522.45432428720233</v>
      </c>
      <c r="K76" s="168">
        <f ca="1">IF($C76-K$1&lt;År1,0,J75*(1-VLOOKUP($A76,[1]Hugst!$R$5:$W$9,MATCH(ROUNDUP((K$1)/10,0)*10,[1]Hugst!$R$4:$W$4,0))))</f>
        <v>525.07972290170437</v>
      </c>
      <c r="L76" s="168">
        <f ca="1">IF($C76-L$1&lt;År1,0,K75*(1-VLOOKUP($A76,[1]Hugst!$R$5:$W$9,MATCH(ROUNDUP((L$1)/10,0)*10,[1]Hugst!$R$4:$W$4,0))))</f>
        <v>527.71831447407021</v>
      </c>
      <c r="M76" s="168">
        <f ca="1">IF($C76-M$1&lt;År1,0,L75*(1-VLOOKUP($A76,[1]Hugst!$R$5:$W$9,MATCH(ROUNDUP((M$1)/10,0)*10,[1]Hugst!$R$4:$W$4,0))))</f>
        <v>530.37016530057008</v>
      </c>
      <c r="N76" s="168">
        <f ca="1">IF($C76-N$1&lt;År1,0,M75*(1-VLOOKUP($A76,[1]Hugst!$R$5:$W$9,MATCH(ROUNDUP((N$1)/10,0)*10,[1]Hugst!$R$4:$W$4,0))))</f>
        <v>533.03534201062575</v>
      </c>
      <c r="O76" s="168">
        <f ca="1">IF($C76-O$1&lt;År1,0,N75*(1-VLOOKUP($A76,[1]Hugst!$R$5:$W$9,MATCH(ROUNDUP((O$1)/10,0)*10,[1]Hugst!$R$4:$W$4,0))))</f>
        <v>535.71391156846948</v>
      </c>
      <c r="P76" s="168">
        <f ca="1">IF($C76-P$1&lt;År1,0,O75*(1-VLOOKUP($A76,[1]Hugst!$R$5:$W$9,MATCH(ROUNDUP((P$1)/10,0)*10,[1]Hugst!$R$4:$W$4,0))))</f>
        <v>537.58464407629174</v>
      </c>
      <c r="Q76" s="168">
        <f ca="1">IF($C76-Q$1&lt;År1,0,P75*(1-VLOOKUP($A76,[1]Hugst!$R$5:$W$9,MATCH(ROUNDUP((Q$1)/10,0)*10,[1]Hugst!$R$4:$W$4,0))))</f>
        <v>539.46190925020721</v>
      </c>
      <c r="R76" s="168">
        <f ca="1">IF($C76-R$1&lt;År1,0,Q75*(1-VLOOKUP($A76,[1]Hugst!$R$5:$W$9,MATCH(ROUNDUP((R$1)/10,0)*10,[1]Hugst!$R$4:$W$4,0))))</f>
        <v>541.34572990257186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175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509.5229283242079</v>
      </c>
      <c r="E77" s="168">
        <f t="shared" ca="1" si="1"/>
        <v>3.2859247039295951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512.80885302813749</v>
      </c>
      <c r="G77" s="168">
        <f ca="1">IF($C77-G$1&lt;År1,0,F76*(1-VLOOKUP($A77,[1]Hugst!$R$5:$W$9,MATCH(ROUNDUP((G$1)/10,0)*10,[1]Hugst!$R$4:$W$4,0))))</f>
        <v>514.55585065956166</v>
      </c>
      <c r="H77" s="168">
        <f ca="1">IF($C77-H$1&lt;År1,0,G76*(1-VLOOKUP($A77,[1]Hugst!$R$5:$W$9,MATCH(ROUNDUP((H$1)/10,0)*10,[1]Hugst!$R$4:$W$4,0))))</f>
        <v>516.31035924252137</v>
      </c>
      <c r="I77" s="168">
        <f ca="1">IF($C77-I$1&lt;År1,0,H76*(1-VLOOKUP($A77,[1]Hugst!$R$5:$W$9,MATCH(ROUNDUP((I$1)/10,0)*10,[1]Hugst!$R$4:$W$4,0))))</f>
        <v>518.07241458350109</v>
      </c>
      <c r="J77" s="168">
        <f ca="1">IF($C77-J$1&lt;År1,0,I76*(1-VLOOKUP($A77,[1]Hugst!$R$5:$W$9,MATCH(ROUNDUP((J$1)/10,0)*10,[1]Hugst!$R$4:$W$4,0))))</f>
        <v>519.84205266574281</v>
      </c>
      <c r="K77" s="168">
        <f ca="1">IF($C77-K$1&lt;År1,0,J76*(1-VLOOKUP($A77,[1]Hugst!$R$5:$W$9,MATCH(ROUNDUP((K$1)/10,0)*10,[1]Hugst!$R$4:$W$4,0))))</f>
        <v>522.45432428720233</v>
      </c>
      <c r="L77" s="168">
        <f ca="1">IF($C77-L$1&lt;År1,0,K76*(1-VLOOKUP($A77,[1]Hugst!$R$5:$W$9,MATCH(ROUNDUP((L$1)/10,0)*10,[1]Hugst!$R$4:$W$4,0))))</f>
        <v>525.07972290170437</v>
      </c>
      <c r="M77" s="168">
        <f ca="1">IF($C77-M$1&lt;År1,0,L76*(1-VLOOKUP($A77,[1]Hugst!$R$5:$W$9,MATCH(ROUNDUP((M$1)/10,0)*10,[1]Hugst!$R$4:$W$4,0))))</f>
        <v>527.71831447407021</v>
      </c>
      <c r="N77" s="168">
        <f ca="1">IF($C77-N$1&lt;År1,0,M76*(1-VLOOKUP($A77,[1]Hugst!$R$5:$W$9,MATCH(ROUNDUP((N$1)/10,0)*10,[1]Hugst!$R$4:$W$4,0))))</f>
        <v>530.37016530057008</v>
      </c>
      <c r="O77" s="168">
        <f ca="1">IF($C77-O$1&lt;År1,0,N76*(1-VLOOKUP($A77,[1]Hugst!$R$5:$W$9,MATCH(ROUNDUP((O$1)/10,0)*10,[1]Hugst!$R$4:$W$4,0))))</f>
        <v>533.03534201062575</v>
      </c>
      <c r="P77" s="168">
        <f ca="1">IF($C77-P$1&lt;År1,0,O76*(1-VLOOKUP($A77,[1]Hugst!$R$5:$W$9,MATCH(ROUNDUP((P$1)/10,0)*10,[1]Hugst!$R$4:$W$4,0))))</f>
        <v>534.89672085590735</v>
      </c>
      <c r="Q77" s="168">
        <f ca="1">IF($C77-Q$1&lt;År1,0,P76*(1-VLOOKUP($A77,[1]Hugst!$R$5:$W$9,MATCH(ROUNDUP((Q$1)/10,0)*10,[1]Hugst!$R$4:$W$4,0))))</f>
        <v>536.76459970397195</v>
      </c>
      <c r="R77" s="168">
        <f ca="1">IF($C77-R$1&lt;År1,0,Q76*(1-VLOOKUP($A77,[1]Hugst!$R$5:$W$9,MATCH(ROUNDUP((R$1)/10,0)*10,[1]Hugst!$R$4:$W$4,0))))</f>
        <v>538.63900125304588</v>
      </c>
      <c r="S77" s="168">
        <f ca="1">IF($C77-S$1&lt;År1,0,R76*(1-VLOOKUP($A77,[1]Hugst!$R$5:$W$9,MATCH(ROUNDUP((S$1)/10,0)*10,[1]Hugst!$R$4:$W$4,0))))</f>
        <v>540.51994828068655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175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506.97531368258933</v>
      </c>
      <c r="E78" s="168">
        <f t="shared" ca="1" si="1"/>
        <v>4.0940170354124348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511.06933071800177</v>
      </c>
      <c r="G78" s="168">
        <f ca="1">IF($C78-G$1&lt;År1,0,F77*(1-VLOOKUP($A78,[1]Hugst!$R$5:$W$9,MATCH(ROUNDUP((G$1)/10,0)*10,[1]Hugst!$R$4:$W$4,0))))</f>
        <v>512.80885302813749</v>
      </c>
      <c r="H78" s="168">
        <f ca="1">IF($C78-H$1&lt;År1,0,G77*(1-VLOOKUP($A78,[1]Hugst!$R$5:$W$9,MATCH(ROUNDUP((H$1)/10,0)*10,[1]Hugst!$R$4:$W$4,0))))</f>
        <v>514.55585065956166</v>
      </c>
      <c r="I78" s="168">
        <f ca="1">IF($C78-I$1&lt;År1,0,H77*(1-VLOOKUP($A78,[1]Hugst!$R$5:$W$9,MATCH(ROUNDUP((I$1)/10,0)*10,[1]Hugst!$R$4:$W$4,0))))</f>
        <v>516.31035924252137</v>
      </c>
      <c r="J78" s="168">
        <f ca="1">IF($C78-J$1&lt;År1,0,I77*(1-VLOOKUP($A78,[1]Hugst!$R$5:$W$9,MATCH(ROUNDUP((J$1)/10,0)*10,[1]Hugst!$R$4:$W$4,0))))</f>
        <v>518.07241458350109</v>
      </c>
      <c r="K78" s="168">
        <f ca="1">IF($C78-K$1&lt;År1,0,J77*(1-VLOOKUP($A78,[1]Hugst!$R$5:$W$9,MATCH(ROUNDUP((K$1)/10,0)*10,[1]Hugst!$R$4:$W$4,0))))</f>
        <v>519.84205266574281</v>
      </c>
      <c r="L78" s="168">
        <f ca="1">IF($C78-L$1&lt;År1,0,K77*(1-VLOOKUP($A78,[1]Hugst!$R$5:$W$9,MATCH(ROUNDUP((L$1)/10,0)*10,[1]Hugst!$R$4:$W$4,0))))</f>
        <v>522.45432428720233</v>
      </c>
      <c r="M78" s="168">
        <f ca="1">IF($C78-M$1&lt;År1,0,L77*(1-VLOOKUP($A78,[1]Hugst!$R$5:$W$9,MATCH(ROUNDUP((M$1)/10,0)*10,[1]Hugst!$R$4:$W$4,0))))</f>
        <v>525.07972290170437</v>
      </c>
      <c r="N78" s="168">
        <f ca="1">IF($C78-N$1&lt;År1,0,M77*(1-VLOOKUP($A78,[1]Hugst!$R$5:$W$9,MATCH(ROUNDUP((N$1)/10,0)*10,[1]Hugst!$R$4:$W$4,0))))</f>
        <v>527.71831447407021</v>
      </c>
      <c r="O78" s="168">
        <f ca="1">IF($C78-O$1&lt;År1,0,N77*(1-VLOOKUP($A78,[1]Hugst!$R$5:$W$9,MATCH(ROUNDUP((O$1)/10,0)*10,[1]Hugst!$R$4:$W$4,0))))</f>
        <v>530.37016530057008</v>
      </c>
      <c r="P78" s="168">
        <f ca="1">IF($C78-P$1&lt;År1,0,O77*(1-VLOOKUP($A78,[1]Hugst!$R$5:$W$9,MATCH(ROUNDUP((P$1)/10,0)*10,[1]Hugst!$R$4:$W$4,0))))</f>
        <v>532.22223725162644</v>
      </c>
      <c r="Q78" s="168">
        <f ca="1">IF($C78-Q$1&lt;År1,0,P77*(1-VLOOKUP($A78,[1]Hugst!$R$5:$W$9,MATCH(ROUNDUP((Q$1)/10,0)*10,[1]Hugst!$R$4:$W$4,0))))</f>
        <v>534.08077670544913</v>
      </c>
      <c r="R78" s="168">
        <f ca="1">IF($C78-R$1&lt;År1,0,Q77*(1-VLOOKUP($A78,[1]Hugst!$R$5:$W$9,MATCH(ROUNDUP((R$1)/10,0)*10,[1]Hugst!$R$4:$W$4,0))))</f>
        <v>535.94580624679634</v>
      </c>
      <c r="S78" s="168">
        <f ca="1">IF($C78-S$1&lt;År1,0,R77*(1-VLOOKUP($A78,[1]Hugst!$R$5:$W$9,MATCH(ROUNDUP((S$1)/10,0)*10,[1]Hugst!$R$4:$W$4,0))))</f>
        <v>537.81734853927003</v>
      </c>
      <c r="T78" s="168">
        <f ca="1">IF($C78-T$1&lt;År1,0,S77*(1-VLOOKUP($A78,[1]Hugst!$R$5:$W$9,MATCH(ROUNDUP((T$1)/10,0)*10,[1]Hugst!$R$4:$W$4,0))))</f>
        <v>539.69542632568209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175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504.44043711418635</v>
      </c>
      <c r="E79" s="168">
        <f t="shared" ca="1" si="1"/>
        <v>4.8968111598851465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509.3372482740715</v>
      </c>
      <c r="G79" s="168">
        <f ca="1">IF($C79-G$1&lt;År1,0,F78*(1-VLOOKUP($A79,[1]Hugst!$R$5:$W$9,MATCH(ROUNDUP((G$1)/10,0)*10,[1]Hugst!$R$4:$W$4,0))))</f>
        <v>511.06933071800177</v>
      </c>
      <c r="H79" s="168">
        <f ca="1">IF($C79-H$1&lt;År1,0,G78*(1-VLOOKUP($A79,[1]Hugst!$R$5:$W$9,MATCH(ROUNDUP((H$1)/10,0)*10,[1]Hugst!$R$4:$W$4,0))))</f>
        <v>512.80885302813749</v>
      </c>
      <c r="I79" s="168">
        <f ca="1">IF($C79-I$1&lt;År1,0,H78*(1-VLOOKUP($A79,[1]Hugst!$R$5:$W$9,MATCH(ROUNDUP((I$1)/10,0)*10,[1]Hugst!$R$4:$W$4,0))))</f>
        <v>514.55585065956166</v>
      </c>
      <c r="J79" s="168">
        <f ca="1">IF($C79-J$1&lt;År1,0,I78*(1-VLOOKUP($A79,[1]Hugst!$R$5:$W$9,MATCH(ROUNDUP((J$1)/10,0)*10,[1]Hugst!$R$4:$W$4,0))))</f>
        <v>516.31035924252137</v>
      </c>
      <c r="K79" s="168">
        <f ca="1">IF($C79-K$1&lt;År1,0,J78*(1-VLOOKUP($A79,[1]Hugst!$R$5:$W$9,MATCH(ROUNDUP((K$1)/10,0)*10,[1]Hugst!$R$4:$W$4,0))))</f>
        <v>518.07241458350109</v>
      </c>
      <c r="L79" s="168">
        <f ca="1">IF($C79-L$1&lt;År1,0,K78*(1-VLOOKUP($A79,[1]Hugst!$R$5:$W$9,MATCH(ROUNDUP((L$1)/10,0)*10,[1]Hugst!$R$4:$W$4,0))))</f>
        <v>519.84205266574281</v>
      </c>
      <c r="M79" s="168">
        <f ca="1">IF($C79-M$1&lt;År1,0,L78*(1-VLOOKUP($A79,[1]Hugst!$R$5:$W$9,MATCH(ROUNDUP((M$1)/10,0)*10,[1]Hugst!$R$4:$W$4,0))))</f>
        <v>522.45432428720233</v>
      </c>
      <c r="N79" s="168">
        <f ca="1">IF($C79-N$1&lt;År1,0,M78*(1-VLOOKUP($A79,[1]Hugst!$R$5:$W$9,MATCH(ROUNDUP((N$1)/10,0)*10,[1]Hugst!$R$4:$W$4,0))))</f>
        <v>525.07972290170437</v>
      </c>
      <c r="O79" s="168">
        <f ca="1">IF($C79-O$1&lt;År1,0,N78*(1-VLOOKUP($A79,[1]Hugst!$R$5:$W$9,MATCH(ROUNDUP((O$1)/10,0)*10,[1]Hugst!$R$4:$W$4,0))))</f>
        <v>527.71831447407021</v>
      </c>
      <c r="P79" s="168">
        <f ca="1">IF($C79-P$1&lt;År1,0,O78*(1-VLOOKUP($A79,[1]Hugst!$R$5:$W$9,MATCH(ROUNDUP((P$1)/10,0)*10,[1]Hugst!$R$4:$W$4,0))))</f>
        <v>529.56112606536578</v>
      </c>
      <c r="Q79" s="168">
        <f ca="1">IF($C79-Q$1&lt;År1,0,P78*(1-VLOOKUP($A79,[1]Hugst!$R$5:$W$9,MATCH(ROUNDUP((Q$1)/10,0)*10,[1]Hugst!$R$4:$W$4,0))))</f>
        <v>531.41037282192053</v>
      </c>
      <c r="R79" s="168">
        <f ca="1">IF($C79-R$1&lt;År1,0,Q78*(1-VLOOKUP($A79,[1]Hugst!$R$5:$W$9,MATCH(ROUNDUP((R$1)/10,0)*10,[1]Hugst!$R$4:$W$4,0))))</f>
        <v>533.26607721555945</v>
      </c>
      <c r="S79" s="168">
        <f ca="1">IF($C79-S$1&lt;År1,0,R78*(1-VLOOKUP($A79,[1]Hugst!$R$5:$W$9,MATCH(ROUNDUP((S$1)/10,0)*10,[1]Hugst!$R$4:$W$4,0))))</f>
        <v>535.1282617965893</v>
      </c>
      <c r="T79" s="168">
        <f ca="1">IF($C79-T$1&lt;År1,0,S78*(1-VLOOKUP($A79,[1]Hugst!$R$5:$W$9,MATCH(ROUNDUP((T$1)/10,0)*10,[1]Hugst!$R$4:$W$4,0))))</f>
        <v>536.99694919404067</v>
      </c>
      <c r="U79" s="168">
        <f ca="1">IF($C79-U$1&lt;År1,0,T78*(1-VLOOKUP($A79,[1]Hugst!$R$5:$W$9,MATCH(ROUNDUP((U$1)/10,0)*10,[1]Hugst!$R$4:$W$4,0))))</f>
        <v>538.87216211603277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175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501.91823492861295</v>
      </c>
      <c r="E80" s="168">
        <f t="shared" ca="1" si="1"/>
        <v>5.6943354869763425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507.61257041558929</v>
      </c>
      <c r="G80" s="168">
        <f ca="1">IF($C80-G$1&lt;År1,0,F79*(1-VLOOKUP($A80,[1]Hugst!$R$5:$W$9,MATCH(ROUNDUP((G$1)/10,0)*10,[1]Hugst!$R$4:$W$4,0))))</f>
        <v>509.3372482740715</v>
      </c>
      <c r="H80" s="168">
        <f ca="1">IF($C80-H$1&lt;År1,0,G79*(1-VLOOKUP($A80,[1]Hugst!$R$5:$W$9,MATCH(ROUNDUP((H$1)/10,0)*10,[1]Hugst!$R$4:$W$4,0))))</f>
        <v>511.06933071800177</v>
      </c>
      <c r="I80" s="168">
        <f ca="1">IF($C80-I$1&lt;År1,0,H79*(1-VLOOKUP($A80,[1]Hugst!$R$5:$W$9,MATCH(ROUNDUP((I$1)/10,0)*10,[1]Hugst!$R$4:$W$4,0))))</f>
        <v>512.80885302813749</v>
      </c>
      <c r="J80" s="168">
        <f ca="1">IF($C80-J$1&lt;År1,0,I79*(1-VLOOKUP($A80,[1]Hugst!$R$5:$W$9,MATCH(ROUNDUP((J$1)/10,0)*10,[1]Hugst!$R$4:$W$4,0))))</f>
        <v>514.55585065956166</v>
      </c>
      <c r="K80" s="168">
        <f ca="1">IF($C80-K$1&lt;År1,0,J79*(1-VLOOKUP($A80,[1]Hugst!$R$5:$W$9,MATCH(ROUNDUP((K$1)/10,0)*10,[1]Hugst!$R$4:$W$4,0))))</f>
        <v>516.31035924252137</v>
      </c>
      <c r="L80" s="168">
        <f ca="1">IF($C80-L$1&lt;År1,0,K79*(1-VLOOKUP($A80,[1]Hugst!$R$5:$W$9,MATCH(ROUNDUP((L$1)/10,0)*10,[1]Hugst!$R$4:$W$4,0))))</f>
        <v>518.07241458350109</v>
      </c>
      <c r="M80" s="168">
        <f ca="1">IF($C80-M$1&lt;År1,0,L79*(1-VLOOKUP($A80,[1]Hugst!$R$5:$W$9,MATCH(ROUNDUP((M$1)/10,0)*10,[1]Hugst!$R$4:$W$4,0))))</f>
        <v>519.84205266574281</v>
      </c>
      <c r="N80" s="168">
        <f ca="1">IF($C80-N$1&lt;År1,0,M79*(1-VLOOKUP($A80,[1]Hugst!$R$5:$W$9,MATCH(ROUNDUP((N$1)/10,0)*10,[1]Hugst!$R$4:$W$4,0))))</f>
        <v>522.45432428720233</v>
      </c>
      <c r="O80" s="168">
        <f ca="1">IF($C80-O$1&lt;År1,0,N79*(1-VLOOKUP($A80,[1]Hugst!$R$5:$W$9,MATCH(ROUNDUP((O$1)/10,0)*10,[1]Hugst!$R$4:$W$4,0))))</f>
        <v>525.07972290170437</v>
      </c>
      <c r="P80" s="168">
        <f ca="1">IF($C80-P$1&lt;År1,0,O79*(1-VLOOKUP($A80,[1]Hugst!$R$5:$W$9,MATCH(ROUNDUP((P$1)/10,0)*10,[1]Hugst!$R$4:$W$4,0))))</f>
        <v>526.9133204350419</v>
      </c>
      <c r="Q80" s="168">
        <f ca="1">IF($C80-Q$1&lt;År1,0,P79*(1-VLOOKUP($A80,[1]Hugst!$R$5:$W$9,MATCH(ROUNDUP((Q$1)/10,0)*10,[1]Hugst!$R$4:$W$4,0))))</f>
        <v>528.75332095780846</v>
      </c>
      <c r="R80" s="168">
        <f ca="1">IF($C80-R$1&lt;År1,0,Q79*(1-VLOOKUP($A80,[1]Hugst!$R$5:$W$9,MATCH(ROUNDUP((R$1)/10,0)*10,[1]Hugst!$R$4:$W$4,0))))</f>
        <v>530.5997468294803</v>
      </c>
      <c r="S80" s="168">
        <f ca="1">IF($C80-S$1&lt;År1,0,R79*(1-VLOOKUP($A80,[1]Hugst!$R$5:$W$9,MATCH(ROUNDUP((S$1)/10,0)*10,[1]Hugst!$R$4:$W$4,0))))</f>
        <v>532.45262048760344</v>
      </c>
      <c r="T80" s="168">
        <f ca="1">IF($C80-T$1&lt;År1,0,S79*(1-VLOOKUP($A80,[1]Hugst!$R$5:$W$9,MATCH(ROUNDUP((T$1)/10,0)*10,[1]Hugst!$R$4:$W$4,0))))</f>
        <v>534.31196444808597</v>
      </c>
      <c r="U80" s="168">
        <f ca="1">IF($C80-U$1&lt;År1,0,T79*(1-VLOOKUP($A80,[1]Hugst!$R$5:$W$9,MATCH(ROUNDUP((U$1)/10,0)*10,[1]Hugst!$R$4:$W$4,0))))</f>
        <v>536.17780130543952</v>
      </c>
      <c r="V80" s="168">
        <f ca="1">IF($C80-V$1&lt;År1,0,U79*(1-VLOOKUP($A80,[1]Hugst!$R$5:$W$9,MATCH(ROUNDUP((V$1)/10,0)*10,[1]Hugst!$R$4:$W$4,0))))</f>
        <v>538.05015373314393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175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499.40864375396632</v>
      </c>
      <c r="E81" s="168">
        <f t="shared" ca="1" si="1"/>
        <v>6.4866182813366322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505.89526203530295</v>
      </c>
      <c r="G81" s="168">
        <f ca="1">IF($C81-G$1&lt;År1,0,F80*(1-VLOOKUP($A81,[1]Hugst!$R$5:$W$9,MATCH(ROUNDUP((G$1)/10,0)*10,[1]Hugst!$R$4:$W$4,0))))</f>
        <v>507.61257041558929</v>
      </c>
      <c r="H81" s="168">
        <f ca="1">IF($C81-H$1&lt;År1,0,G80*(1-VLOOKUP($A81,[1]Hugst!$R$5:$W$9,MATCH(ROUNDUP((H$1)/10,0)*10,[1]Hugst!$R$4:$W$4,0))))</f>
        <v>509.3372482740715</v>
      </c>
      <c r="I81" s="168">
        <f ca="1">IF($C81-I$1&lt;År1,0,H80*(1-VLOOKUP($A81,[1]Hugst!$R$5:$W$9,MATCH(ROUNDUP((I$1)/10,0)*10,[1]Hugst!$R$4:$W$4,0))))</f>
        <v>511.06933071800177</v>
      </c>
      <c r="J81" s="168">
        <f ca="1">IF($C81-J$1&lt;År1,0,I80*(1-VLOOKUP($A81,[1]Hugst!$R$5:$W$9,MATCH(ROUNDUP((J$1)/10,0)*10,[1]Hugst!$R$4:$W$4,0))))</f>
        <v>512.80885302813749</v>
      </c>
      <c r="K81" s="168">
        <f ca="1">IF($C81-K$1&lt;År1,0,J80*(1-VLOOKUP($A81,[1]Hugst!$R$5:$W$9,MATCH(ROUNDUP((K$1)/10,0)*10,[1]Hugst!$R$4:$W$4,0))))</f>
        <v>514.55585065956166</v>
      </c>
      <c r="L81" s="168">
        <f ca="1">IF($C81-L$1&lt;År1,0,K80*(1-VLOOKUP($A81,[1]Hugst!$R$5:$W$9,MATCH(ROUNDUP((L$1)/10,0)*10,[1]Hugst!$R$4:$W$4,0))))</f>
        <v>516.31035924252137</v>
      </c>
      <c r="M81" s="168">
        <f ca="1">IF($C81-M$1&lt;År1,0,L80*(1-VLOOKUP($A81,[1]Hugst!$R$5:$W$9,MATCH(ROUNDUP((M$1)/10,0)*10,[1]Hugst!$R$4:$W$4,0))))</f>
        <v>518.07241458350109</v>
      </c>
      <c r="N81" s="168">
        <f ca="1">IF($C81-N$1&lt;År1,0,M80*(1-VLOOKUP($A81,[1]Hugst!$R$5:$W$9,MATCH(ROUNDUP((N$1)/10,0)*10,[1]Hugst!$R$4:$W$4,0))))</f>
        <v>519.84205266574281</v>
      </c>
      <c r="O81" s="168">
        <f ca="1">IF($C81-O$1&lt;År1,0,N80*(1-VLOOKUP($A81,[1]Hugst!$R$5:$W$9,MATCH(ROUNDUP((O$1)/10,0)*10,[1]Hugst!$R$4:$W$4,0))))</f>
        <v>522.45432428720233</v>
      </c>
      <c r="P81" s="168">
        <f ca="1">IF($C81-P$1&lt;År1,0,O80*(1-VLOOKUP($A81,[1]Hugst!$R$5:$W$9,MATCH(ROUNDUP((P$1)/10,0)*10,[1]Hugst!$R$4:$W$4,0))))</f>
        <v>524.2787538328713</v>
      </c>
      <c r="Q81" s="168">
        <f ca="1">IF($C81-Q$1&lt;År1,0,P80*(1-VLOOKUP($A81,[1]Hugst!$R$5:$W$9,MATCH(ROUNDUP((Q$1)/10,0)*10,[1]Hugst!$R$4:$W$4,0))))</f>
        <v>526.1095543530223</v>
      </c>
      <c r="R81" s="168">
        <f ca="1">IF($C81-R$1&lt;År1,0,Q80*(1-VLOOKUP($A81,[1]Hugst!$R$5:$W$9,MATCH(ROUNDUP((R$1)/10,0)*10,[1]Hugst!$R$4:$W$4,0))))</f>
        <v>527.94674809533046</v>
      </c>
      <c r="S81" s="168">
        <f ca="1">IF($C81-S$1&lt;År1,0,R80*(1-VLOOKUP($A81,[1]Hugst!$R$5:$W$9,MATCH(ROUNDUP((S$1)/10,0)*10,[1]Hugst!$R$4:$W$4,0))))</f>
        <v>529.79035738516416</v>
      </c>
      <c r="T81" s="168">
        <f ca="1">IF($C81-T$1&lt;År1,0,S80*(1-VLOOKUP($A81,[1]Hugst!$R$5:$W$9,MATCH(ROUNDUP((T$1)/10,0)*10,[1]Hugst!$R$4:$W$4,0))))</f>
        <v>531.64040462584262</v>
      </c>
      <c r="U81" s="168">
        <f ca="1">IF($C81-U$1&lt;År1,0,T80*(1-VLOOKUP($A81,[1]Hugst!$R$5:$W$9,MATCH(ROUNDUP((U$1)/10,0)*10,[1]Hugst!$R$4:$W$4,0))))</f>
        <v>533.4969122989279</v>
      </c>
      <c r="V81" s="168">
        <f ca="1">IF($C81-V$1&lt;År1,0,U80*(1-VLOOKUP($A81,[1]Hugst!$R$5:$W$9,MATCH(ROUNDUP((V$1)/10,0)*10,[1]Hugst!$R$4:$W$4,0))))</f>
        <v>535.35990296446505</v>
      </c>
      <c r="W81" s="168">
        <f ca="1">IF($C81-W$1&lt;År1,0,V80*(1-VLOOKUP($A81,[1]Hugst!$R$5:$W$9,MATCH(ROUNDUP((W$1)/10,0)*10,[1]Hugst!$R$4:$W$4,0))))</f>
        <v>537.22939926134757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175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496.91160053521162</v>
      </c>
      <c r="E82" s="168">
        <f t="shared" ca="1" si="1"/>
        <v>7.2736876633771317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504.18528819858875</v>
      </c>
      <c r="G82" s="168">
        <f ca="1">IF($C82-G$1&lt;År1,0,F81*(1-VLOOKUP($A82,[1]Hugst!$R$5:$W$9,MATCH(ROUNDUP((G$1)/10,0)*10,[1]Hugst!$R$4:$W$4,0))))</f>
        <v>505.89526203530295</v>
      </c>
      <c r="H82" s="168">
        <f ca="1">IF($C82-H$1&lt;År1,0,G81*(1-VLOOKUP($A82,[1]Hugst!$R$5:$W$9,MATCH(ROUNDUP((H$1)/10,0)*10,[1]Hugst!$R$4:$W$4,0))))</f>
        <v>507.61257041558929</v>
      </c>
      <c r="I82" s="168">
        <f ca="1">IF($C82-I$1&lt;År1,0,H81*(1-VLOOKUP($A82,[1]Hugst!$R$5:$W$9,MATCH(ROUNDUP((I$1)/10,0)*10,[1]Hugst!$R$4:$W$4,0))))</f>
        <v>509.3372482740715</v>
      </c>
      <c r="J82" s="168">
        <f ca="1">IF($C82-J$1&lt;År1,0,I81*(1-VLOOKUP($A82,[1]Hugst!$R$5:$W$9,MATCH(ROUNDUP((J$1)/10,0)*10,[1]Hugst!$R$4:$W$4,0))))</f>
        <v>511.06933071800177</v>
      </c>
      <c r="K82" s="168">
        <f ca="1">IF($C82-K$1&lt;År1,0,J81*(1-VLOOKUP($A82,[1]Hugst!$R$5:$W$9,MATCH(ROUNDUP((K$1)/10,0)*10,[1]Hugst!$R$4:$W$4,0))))</f>
        <v>512.80885302813749</v>
      </c>
      <c r="L82" s="168">
        <f ca="1">IF($C82-L$1&lt;År1,0,K81*(1-VLOOKUP($A82,[1]Hugst!$R$5:$W$9,MATCH(ROUNDUP((L$1)/10,0)*10,[1]Hugst!$R$4:$W$4,0))))</f>
        <v>514.55585065956166</v>
      </c>
      <c r="M82" s="168">
        <f ca="1">IF($C82-M$1&lt;År1,0,L81*(1-VLOOKUP($A82,[1]Hugst!$R$5:$W$9,MATCH(ROUNDUP((M$1)/10,0)*10,[1]Hugst!$R$4:$W$4,0))))</f>
        <v>516.31035924252137</v>
      </c>
      <c r="N82" s="168">
        <f ca="1">IF($C82-N$1&lt;År1,0,M81*(1-VLOOKUP($A82,[1]Hugst!$R$5:$W$9,MATCH(ROUNDUP((N$1)/10,0)*10,[1]Hugst!$R$4:$W$4,0))))</f>
        <v>518.07241458350109</v>
      </c>
      <c r="O82" s="168">
        <f ca="1">IF($C82-O$1&lt;År1,0,N81*(1-VLOOKUP($A82,[1]Hugst!$R$5:$W$9,MATCH(ROUNDUP((O$1)/10,0)*10,[1]Hugst!$R$4:$W$4,0))))</f>
        <v>519.84205266574281</v>
      </c>
      <c r="P82" s="168">
        <f ca="1">IF($C82-P$1&lt;År1,0,O81*(1-VLOOKUP($A82,[1]Hugst!$R$5:$W$9,MATCH(ROUNDUP((P$1)/10,0)*10,[1]Hugst!$R$4:$W$4,0))))</f>
        <v>521.65736006371333</v>
      </c>
      <c r="Q82" s="168">
        <f ca="1">IF($C82-Q$1&lt;År1,0,P81*(1-VLOOKUP($A82,[1]Hugst!$R$5:$W$9,MATCH(ROUNDUP((Q$1)/10,0)*10,[1]Hugst!$R$4:$W$4,0))))</f>
        <v>523.47900658126184</v>
      </c>
      <c r="R82" s="168">
        <f ca="1">IF($C82-R$1&lt;År1,0,Q81*(1-VLOOKUP($A82,[1]Hugst!$R$5:$W$9,MATCH(ROUNDUP((R$1)/10,0)*10,[1]Hugst!$R$4:$W$4,0))))</f>
        <v>525.30701435485662</v>
      </c>
      <c r="S82" s="168">
        <f ca="1">IF($C82-S$1&lt;År1,0,R81*(1-VLOOKUP($A82,[1]Hugst!$R$5:$W$9,MATCH(ROUNDUP((S$1)/10,0)*10,[1]Hugst!$R$4:$W$4,0))))</f>
        <v>527.14140559823591</v>
      </c>
      <c r="T82" s="168">
        <f ca="1">IF($C82-T$1&lt;År1,0,S81*(1-VLOOKUP($A82,[1]Hugst!$R$5:$W$9,MATCH(ROUNDUP((T$1)/10,0)*10,[1]Hugst!$R$4:$W$4,0))))</f>
        <v>528.98220260271216</v>
      </c>
      <c r="U82" s="168">
        <f ca="1">IF($C82-U$1&lt;År1,0,T81*(1-VLOOKUP($A82,[1]Hugst!$R$5:$W$9,MATCH(ROUNDUP((U$1)/10,0)*10,[1]Hugst!$R$4:$W$4,0))))</f>
        <v>530.82942773743025</v>
      </c>
      <c r="V82" s="168">
        <f ca="1">IF($C82-V$1&lt;År1,0,U81*(1-VLOOKUP($A82,[1]Hugst!$R$5:$W$9,MATCH(ROUNDUP((V$1)/10,0)*10,[1]Hugst!$R$4:$W$4,0))))</f>
        <v>532.68310344965835</v>
      </c>
      <c r="W82" s="168">
        <f ca="1">IF($C82-W$1&lt;År1,0,V81*(1-VLOOKUP($A82,[1]Hugst!$R$5:$W$9,MATCH(ROUNDUP((W$1)/10,0)*10,[1]Hugst!$R$4:$W$4,0))))</f>
        <v>534.54325226502772</v>
      </c>
      <c r="X82" s="168">
        <f ca="1">IF($C82-X$1&lt;År1,0,W81*(1-VLOOKUP($A82,[1]Hugst!$R$5:$W$9,MATCH(ROUNDUP((X$1)/10,0)*10,[1]Hugst!$R$4:$W$4,0))))</f>
        <v>536.40989678789799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175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494.42704253250849</v>
      </c>
      <c r="E83" s="168">
        <f t="shared" ca="1" si="1"/>
        <v>8.0555716099934216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502.48261414250192</v>
      </c>
      <c r="G83" s="168">
        <f ca="1">IF($C83-G$1&lt;År1,0,F82*(1-VLOOKUP($A83,[1]Hugst!$R$5:$W$9,MATCH(ROUNDUP((G$1)/10,0)*10,[1]Hugst!$R$4:$W$4,0))))</f>
        <v>504.18528819858875</v>
      </c>
      <c r="H83" s="168">
        <f ca="1">IF($C83-H$1&lt;År1,0,G82*(1-VLOOKUP($A83,[1]Hugst!$R$5:$W$9,MATCH(ROUNDUP((H$1)/10,0)*10,[1]Hugst!$R$4:$W$4,0))))</f>
        <v>505.89526203530295</v>
      </c>
      <c r="I83" s="168">
        <f ca="1">IF($C83-I$1&lt;År1,0,H82*(1-VLOOKUP($A83,[1]Hugst!$R$5:$W$9,MATCH(ROUNDUP((I$1)/10,0)*10,[1]Hugst!$R$4:$W$4,0))))</f>
        <v>507.61257041558929</v>
      </c>
      <c r="J83" s="168">
        <f ca="1">IF($C83-J$1&lt;År1,0,I82*(1-VLOOKUP($A83,[1]Hugst!$R$5:$W$9,MATCH(ROUNDUP((J$1)/10,0)*10,[1]Hugst!$R$4:$W$4,0))))</f>
        <v>509.3372482740715</v>
      </c>
      <c r="K83" s="168">
        <f ca="1">IF($C83-K$1&lt;År1,0,J82*(1-VLOOKUP($A83,[1]Hugst!$R$5:$W$9,MATCH(ROUNDUP((K$1)/10,0)*10,[1]Hugst!$R$4:$W$4,0))))</f>
        <v>511.06933071800177</v>
      </c>
      <c r="L83" s="168">
        <f ca="1">IF($C83-L$1&lt;År1,0,K82*(1-VLOOKUP($A83,[1]Hugst!$R$5:$W$9,MATCH(ROUNDUP((L$1)/10,0)*10,[1]Hugst!$R$4:$W$4,0))))</f>
        <v>512.80885302813749</v>
      </c>
      <c r="M83" s="168">
        <f ca="1">IF($C83-M$1&lt;År1,0,L82*(1-VLOOKUP($A83,[1]Hugst!$R$5:$W$9,MATCH(ROUNDUP((M$1)/10,0)*10,[1]Hugst!$R$4:$W$4,0))))</f>
        <v>514.55585065956166</v>
      </c>
      <c r="N83" s="168">
        <f ca="1">IF($C83-N$1&lt;År1,0,M82*(1-VLOOKUP($A83,[1]Hugst!$R$5:$W$9,MATCH(ROUNDUP((N$1)/10,0)*10,[1]Hugst!$R$4:$W$4,0))))</f>
        <v>516.31035924252137</v>
      </c>
      <c r="O83" s="168">
        <f ca="1">IF($C83-O$1&lt;År1,0,N82*(1-VLOOKUP($A83,[1]Hugst!$R$5:$W$9,MATCH(ROUNDUP((O$1)/10,0)*10,[1]Hugst!$R$4:$W$4,0))))</f>
        <v>518.07241458350109</v>
      </c>
      <c r="P83" s="168">
        <f ca="1">IF($C83-P$1&lt;År1,0,O82*(1-VLOOKUP($A83,[1]Hugst!$R$5:$W$9,MATCH(ROUNDUP((P$1)/10,0)*10,[1]Hugst!$R$4:$W$4,0))))</f>
        <v>519.04907326337127</v>
      </c>
      <c r="Q83" s="168">
        <f ca="1">IF($C83-Q$1&lt;År1,0,P82*(1-VLOOKUP($A83,[1]Hugst!$R$5:$W$9,MATCH(ROUNDUP((Q$1)/10,0)*10,[1]Hugst!$R$4:$W$4,0))))</f>
        <v>520.86161154836191</v>
      </c>
      <c r="R83" s="168">
        <f ca="1">IF($C83-R$1&lt;År1,0,Q82*(1-VLOOKUP($A83,[1]Hugst!$R$5:$W$9,MATCH(ROUNDUP((R$1)/10,0)*10,[1]Hugst!$R$4:$W$4,0))))</f>
        <v>522.68047928308704</v>
      </c>
      <c r="S83" s="168">
        <f ca="1">IF($C83-S$1&lt;År1,0,R82*(1-VLOOKUP($A83,[1]Hugst!$R$5:$W$9,MATCH(ROUNDUP((S$1)/10,0)*10,[1]Hugst!$R$4:$W$4,0))))</f>
        <v>524.50569857024755</v>
      </c>
      <c r="T83" s="168">
        <f ca="1">IF($C83-T$1&lt;År1,0,S82*(1-VLOOKUP($A83,[1]Hugst!$R$5:$W$9,MATCH(ROUNDUP((T$1)/10,0)*10,[1]Hugst!$R$4:$W$4,0))))</f>
        <v>526.33729158969618</v>
      </c>
      <c r="U83" s="168">
        <f ca="1">IF($C83-U$1&lt;År1,0,T82*(1-VLOOKUP($A83,[1]Hugst!$R$5:$W$9,MATCH(ROUNDUP((U$1)/10,0)*10,[1]Hugst!$R$4:$W$4,0))))</f>
        <v>528.17528059874189</v>
      </c>
      <c r="V83" s="168">
        <f ca="1">IF($C83-V$1&lt;År1,0,U82*(1-VLOOKUP($A83,[1]Hugst!$R$5:$W$9,MATCH(ROUNDUP((V$1)/10,0)*10,[1]Hugst!$R$4:$W$4,0))))</f>
        <v>530.01968793240701</v>
      </c>
      <c r="W83" s="168">
        <f ca="1">IF($C83-W$1&lt;År1,0,V82*(1-VLOOKUP($A83,[1]Hugst!$R$5:$W$9,MATCH(ROUNDUP((W$1)/10,0)*10,[1]Hugst!$R$4:$W$4,0))))</f>
        <v>531.87053600371814</v>
      </c>
      <c r="X83" s="168">
        <f ca="1">IF($C83-X$1&lt;År1,0,W82*(1-VLOOKUP($A83,[1]Hugst!$R$5:$W$9,MATCH(ROUNDUP((X$1)/10,0)*10,[1]Hugst!$R$4:$W$4,0))))</f>
        <v>533.72784730394551</v>
      </c>
      <c r="Y83" s="168">
        <f ca="1">IF($C83-Y$1&lt;År1,0,X82*(1-VLOOKUP($A83,[1]Hugst!$R$5:$W$9,MATCH(ROUNDUP((Y$1)/10,0)*10,[1]Hugst!$R$4:$W$4,0))))</f>
        <v>535.59164440296729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175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491.95490731985774</v>
      </c>
      <c r="E84" s="168">
        <f t="shared" ca="1" si="1"/>
        <v>8.9470362103784282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500.90194353023617</v>
      </c>
      <c r="G84" s="168">
        <f ca="1">IF($C84-G$1&lt;År1,0,F83*(1-VLOOKUP($A84,[1]Hugst!$R$5:$W$9,MATCH(ROUNDUP((G$1)/10,0)*10,[1]Hugst!$R$4:$W$4,0))))</f>
        <v>502.48261414250192</v>
      </c>
      <c r="H84" s="168">
        <f ca="1">IF($C84-H$1&lt;År1,0,G83*(1-VLOOKUP($A84,[1]Hugst!$R$5:$W$9,MATCH(ROUNDUP((H$1)/10,0)*10,[1]Hugst!$R$4:$W$4,0))))</f>
        <v>504.18528819858875</v>
      </c>
      <c r="I84" s="168">
        <f ca="1">IF($C84-I$1&lt;År1,0,H83*(1-VLOOKUP($A84,[1]Hugst!$R$5:$W$9,MATCH(ROUNDUP((I$1)/10,0)*10,[1]Hugst!$R$4:$W$4,0))))</f>
        <v>505.89526203530295</v>
      </c>
      <c r="J84" s="168">
        <f ca="1">IF($C84-J$1&lt;År1,0,I83*(1-VLOOKUP($A84,[1]Hugst!$R$5:$W$9,MATCH(ROUNDUP((J$1)/10,0)*10,[1]Hugst!$R$4:$W$4,0))))</f>
        <v>507.61257041558929</v>
      </c>
      <c r="K84" s="168">
        <f ca="1">IF($C84-K$1&lt;År1,0,J83*(1-VLOOKUP($A84,[1]Hugst!$R$5:$W$9,MATCH(ROUNDUP((K$1)/10,0)*10,[1]Hugst!$R$4:$W$4,0))))</f>
        <v>509.3372482740715</v>
      </c>
      <c r="L84" s="168">
        <f ca="1">IF($C84-L$1&lt;År1,0,K83*(1-VLOOKUP($A84,[1]Hugst!$R$5:$W$9,MATCH(ROUNDUP((L$1)/10,0)*10,[1]Hugst!$R$4:$W$4,0))))</f>
        <v>511.06933071800177</v>
      </c>
      <c r="M84" s="168">
        <f ca="1">IF($C84-M$1&lt;År1,0,L83*(1-VLOOKUP($A84,[1]Hugst!$R$5:$W$9,MATCH(ROUNDUP((M$1)/10,0)*10,[1]Hugst!$R$4:$W$4,0))))</f>
        <v>512.80885302813749</v>
      </c>
      <c r="N84" s="168">
        <f ca="1">IF($C84-N$1&lt;År1,0,M83*(1-VLOOKUP($A84,[1]Hugst!$R$5:$W$9,MATCH(ROUNDUP((N$1)/10,0)*10,[1]Hugst!$R$4:$W$4,0))))</f>
        <v>514.55585065956166</v>
      </c>
      <c r="O84" s="168">
        <f ca="1">IF($C84-O$1&lt;År1,0,N83*(1-VLOOKUP($A84,[1]Hugst!$R$5:$W$9,MATCH(ROUNDUP((O$1)/10,0)*10,[1]Hugst!$R$4:$W$4,0))))</f>
        <v>516.31035924252137</v>
      </c>
      <c r="P84" s="168">
        <f ca="1">IF($C84-P$1&lt;År1,0,O83*(1-VLOOKUP($A84,[1]Hugst!$R$5:$W$9,MATCH(ROUNDUP((P$1)/10,0)*10,[1]Hugst!$R$4:$W$4,0))))</f>
        <v>517.28213462905171</v>
      </c>
      <c r="Q84" s="168">
        <f ca="1">IF($C84-Q$1&lt;År1,0,P83*(1-VLOOKUP($A84,[1]Hugst!$R$5:$W$9,MATCH(ROUNDUP((Q$1)/10,0)*10,[1]Hugst!$R$4:$W$4,0))))</f>
        <v>518.25730349059666</v>
      </c>
      <c r="R84" s="168">
        <f ca="1">IF($C84-R$1&lt;År1,0,Q83*(1-VLOOKUP($A84,[1]Hugst!$R$5:$W$9,MATCH(ROUNDUP((R$1)/10,0)*10,[1]Hugst!$R$4:$W$4,0))))</f>
        <v>520.06707688667791</v>
      </c>
      <c r="S84" s="168">
        <f ca="1">IF($C84-S$1&lt;År1,0,R83*(1-VLOOKUP($A84,[1]Hugst!$R$5:$W$9,MATCH(ROUNDUP((S$1)/10,0)*10,[1]Hugst!$R$4:$W$4,0))))</f>
        <v>521.88317007740091</v>
      </c>
      <c r="T84" s="168">
        <f ca="1">IF($C84-T$1&lt;År1,0,S83*(1-VLOOKUP($A84,[1]Hugst!$R$5:$W$9,MATCH(ROUNDUP((T$1)/10,0)*10,[1]Hugst!$R$4:$W$4,0))))</f>
        <v>523.70560513175053</v>
      </c>
      <c r="U84" s="168">
        <f ca="1">IF($C84-U$1&lt;År1,0,T83*(1-VLOOKUP($A84,[1]Hugst!$R$5:$W$9,MATCH(ROUNDUP((U$1)/10,0)*10,[1]Hugst!$R$4:$W$4,0))))</f>
        <v>525.53440419574576</v>
      </c>
      <c r="V84" s="168">
        <f ca="1">IF($C84-V$1&lt;År1,0,U83*(1-VLOOKUP($A84,[1]Hugst!$R$5:$W$9,MATCH(ROUNDUP((V$1)/10,0)*10,[1]Hugst!$R$4:$W$4,0))))</f>
        <v>527.36958949274378</v>
      </c>
      <c r="W84" s="168">
        <f ca="1">IF($C84-W$1&lt;År1,0,V83*(1-VLOOKUP($A84,[1]Hugst!$R$5:$W$9,MATCH(ROUNDUP((W$1)/10,0)*10,[1]Hugst!$R$4:$W$4,0))))</f>
        <v>529.21118332369656</v>
      </c>
      <c r="X84" s="168">
        <f ca="1">IF($C84-X$1&lt;År1,0,W83*(1-VLOOKUP($A84,[1]Hugst!$R$5:$W$9,MATCH(ROUNDUP((X$1)/10,0)*10,[1]Hugst!$R$4:$W$4,0))))</f>
        <v>531.05920806744132</v>
      </c>
      <c r="Y84" s="168">
        <f ca="1">IF($C84-Y$1&lt;År1,0,X83*(1-VLOOKUP($A84,[1]Hugst!$R$5:$W$9,MATCH(ROUNDUP((Y$1)/10,0)*10,[1]Hugst!$R$4:$W$4,0))))</f>
        <v>532.91368618093952</v>
      </c>
      <c r="Z84" s="168">
        <f ca="1">IF($C84-Z$1&lt;År1,0,Y83*(1-VLOOKUP($A84,[1]Hugst!$R$5:$W$9,MATCH(ROUNDUP((Z$1)/10,0)*10,[1]Hugst!$R$4:$W$4,0))))</f>
        <v>534.66116739362315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175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489.49513278326776</v>
      </c>
      <c r="E85" s="168">
        <f t="shared" ca="1" si="1"/>
        <v>9.8336885694880038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499.32882135275577</v>
      </c>
      <c r="G85" s="168">
        <f ca="1">IF($C85-G$1&lt;År1,0,F84*(1-VLOOKUP($A85,[1]Hugst!$R$5:$W$9,MATCH(ROUNDUP((G$1)/10,0)*10,[1]Hugst!$R$4:$W$4,0))))</f>
        <v>500.90194353023617</v>
      </c>
      <c r="H85" s="168">
        <f ca="1">IF($C85-H$1&lt;År1,0,G84*(1-VLOOKUP($A85,[1]Hugst!$R$5:$W$9,MATCH(ROUNDUP((H$1)/10,0)*10,[1]Hugst!$R$4:$W$4,0))))</f>
        <v>502.48261414250192</v>
      </c>
      <c r="I85" s="168">
        <f ca="1">IF($C85-I$1&lt;År1,0,H84*(1-VLOOKUP($A85,[1]Hugst!$R$5:$W$9,MATCH(ROUNDUP((I$1)/10,0)*10,[1]Hugst!$R$4:$W$4,0))))</f>
        <v>504.18528819858875</v>
      </c>
      <c r="J85" s="168">
        <f ca="1">IF($C85-J$1&lt;År1,0,I84*(1-VLOOKUP($A85,[1]Hugst!$R$5:$W$9,MATCH(ROUNDUP((J$1)/10,0)*10,[1]Hugst!$R$4:$W$4,0))))</f>
        <v>505.89526203530295</v>
      </c>
      <c r="K85" s="168">
        <f ca="1">IF($C85-K$1&lt;År1,0,J84*(1-VLOOKUP($A85,[1]Hugst!$R$5:$W$9,MATCH(ROUNDUP((K$1)/10,0)*10,[1]Hugst!$R$4:$W$4,0))))</f>
        <v>507.61257041558929</v>
      </c>
      <c r="L85" s="168">
        <f ca="1">IF($C85-L$1&lt;År1,0,K84*(1-VLOOKUP($A85,[1]Hugst!$R$5:$W$9,MATCH(ROUNDUP((L$1)/10,0)*10,[1]Hugst!$R$4:$W$4,0))))</f>
        <v>509.3372482740715</v>
      </c>
      <c r="M85" s="168">
        <f ca="1">IF($C85-M$1&lt;År1,0,L84*(1-VLOOKUP($A85,[1]Hugst!$R$5:$W$9,MATCH(ROUNDUP((M$1)/10,0)*10,[1]Hugst!$R$4:$W$4,0))))</f>
        <v>511.06933071800177</v>
      </c>
      <c r="N85" s="168">
        <f ca="1">IF($C85-N$1&lt;År1,0,M84*(1-VLOOKUP($A85,[1]Hugst!$R$5:$W$9,MATCH(ROUNDUP((N$1)/10,0)*10,[1]Hugst!$R$4:$W$4,0))))</f>
        <v>512.80885302813749</v>
      </c>
      <c r="O85" s="168">
        <f ca="1">IF($C85-O$1&lt;År1,0,N84*(1-VLOOKUP($A85,[1]Hugst!$R$5:$W$9,MATCH(ROUNDUP((O$1)/10,0)*10,[1]Hugst!$R$4:$W$4,0))))</f>
        <v>514.55585065956166</v>
      </c>
      <c r="P85" s="168">
        <f ca="1">IF($C85-P$1&lt;År1,0,O84*(1-VLOOKUP($A85,[1]Hugst!$R$5:$W$9,MATCH(ROUNDUP((P$1)/10,0)*10,[1]Hugst!$R$4:$W$4,0))))</f>
        <v>515.52276716910058</v>
      </c>
      <c r="Q85" s="168">
        <f ca="1">IF($C85-Q$1&lt;År1,0,P84*(1-VLOOKUP($A85,[1]Hugst!$R$5:$W$9,MATCH(ROUNDUP((Q$1)/10,0)*10,[1]Hugst!$R$4:$W$4,0))))</f>
        <v>516.4930601863972</v>
      </c>
      <c r="R85" s="168">
        <f ca="1">IF($C85-R$1&lt;År1,0,Q84*(1-VLOOKUP($A85,[1]Hugst!$R$5:$W$9,MATCH(ROUNDUP((R$1)/10,0)*10,[1]Hugst!$R$4:$W$4,0))))</f>
        <v>517.46674150222111</v>
      </c>
      <c r="S85" s="168">
        <f ca="1">IF($C85-S$1&lt;År1,0,R84*(1-VLOOKUP($A85,[1]Hugst!$R$5:$W$9,MATCH(ROUNDUP((S$1)/10,0)*10,[1]Hugst!$R$4:$W$4,0))))</f>
        <v>519.27375422702028</v>
      </c>
      <c r="T85" s="168">
        <f ca="1">IF($C85-T$1&lt;År1,0,S84*(1-VLOOKUP($A85,[1]Hugst!$R$5:$W$9,MATCH(ROUNDUP((T$1)/10,0)*10,[1]Hugst!$R$4:$W$4,0))))</f>
        <v>521.08707710609633</v>
      </c>
      <c r="U85" s="168">
        <f ca="1">IF($C85-U$1&lt;År1,0,T84*(1-VLOOKUP($A85,[1]Hugst!$R$5:$W$9,MATCH(ROUNDUP((U$1)/10,0)*10,[1]Hugst!$R$4:$W$4,0))))</f>
        <v>522.9067321747699</v>
      </c>
      <c r="V85" s="168">
        <f ca="1">IF($C85-V$1&lt;År1,0,U84*(1-VLOOKUP($A85,[1]Hugst!$R$5:$W$9,MATCH(ROUNDUP((V$1)/10,0)*10,[1]Hugst!$R$4:$W$4,0))))</f>
        <v>524.73274154527769</v>
      </c>
      <c r="W85" s="168">
        <f ca="1">IF($C85-W$1&lt;År1,0,V84*(1-VLOOKUP($A85,[1]Hugst!$R$5:$W$9,MATCH(ROUNDUP((W$1)/10,0)*10,[1]Hugst!$R$4:$W$4,0))))</f>
        <v>526.56512740707683</v>
      </c>
      <c r="X85" s="168">
        <f ca="1">IF($C85-X$1&lt;År1,0,W84*(1-VLOOKUP($A85,[1]Hugst!$R$5:$W$9,MATCH(ROUNDUP((X$1)/10,0)*10,[1]Hugst!$R$4:$W$4,0))))</f>
        <v>528.40391202710111</v>
      </c>
      <c r="Y85" s="168">
        <f ca="1">IF($C85-Y$1&lt;År1,0,X84*(1-VLOOKUP($A85,[1]Hugst!$R$5:$W$9,MATCH(ROUNDUP((Y$1)/10,0)*10,[1]Hugst!$R$4:$W$4,0))))</f>
        <v>530.24911775005035</v>
      </c>
      <c r="Z85" s="168">
        <f ca="1">IF($C85-Z$1&lt;År1,0,Y84*(1-VLOOKUP($A85,[1]Hugst!$R$5:$W$9,MATCH(ROUNDUP((Z$1)/10,0)*10,[1]Hugst!$R$4:$W$4,0))))</f>
        <v>531.98786155664209</v>
      </c>
      <c r="AA85" s="168">
        <f ca="1">IF($C85-AA$1&lt;År1,0,Z84*(1-VLOOKUP($A85,[1]Hugst!$R$5:$W$9,MATCH(ROUNDUP((AA$1)/10,0)*10,[1]Hugst!$R$4:$W$4,0))))</f>
        <v>533.73230689094771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175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487.04765711934306</v>
      </c>
      <c r="E86" s="168">
        <f t="shared" ca="1" si="1"/>
        <v>10.715551705012331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497.76320882435539</v>
      </c>
      <c r="G86" s="168">
        <f ca="1">IF($C86-G$1&lt;År1,0,F85*(1-VLOOKUP($A86,[1]Hugst!$R$5:$W$9,MATCH(ROUNDUP((G$1)/10,0)*10,[1]Hugst!$R$4:$W$4,0))))</f>
        <v>499.32882135275577</v>
      </c>
      <c r="H86" s="168">
        <f ca="1">IF($C86-H$1&lt;År1,0,G85*(1-VLOOKUP($A86,[1]Hugst!$R$5:$W$9,MATCH(ROUNDUP((H$1)/10,0)*10,[1]Hugst!$R$4:$W$4,0))))</f>
        <v>500.90194353023617</v>
      </c>
      <c r="I86" s="168">
        <f ca="1">IF($C86-I$1&lt;År1,0,H85*(1-VLOOKUP($A86,[1]Hugst!$R$5:$W$9,MATCH(ROUNDUP((I$1)/10,0)*10,[1]Hugst!$R$4:$W$4,0))))</f>
        <v>502.48261414250192</v>
      </c>
      <c r="J86" s="168">
        <f ca="1">IF($C86-J$1&lt;År1,0,I85*(1-VLOOKUP($A86,[1]Hugst!$R$5:$W$9,MATCH(ROUNDUP((J$1)/10,0)*10,[1]Hugst!$R$4:$W$4,0))))</f>
        <v>504.18528819858875</v>
      </c>
      <c r="K86" s="168">
        <f ca="1">IF($C86-K$1&lt;År1,0,J85*(1-VLOOKUP($A86,[1]Hugst!$R$5:$W$9,MATCH(ROUNDUP((K$1)/10,0)*10,[1]Hugst!$R$4:$W$4,0))))</f>
        <v>505.89526203530295</v>
      </c>
      <c r="L86" s="168">
        <f ca="1">IF($C86-L$1&lt;År1,0,K85*(1-VLOOKUP($A86,[1]Hugst!$R$5:$W$9,MATCH(ROUNDUP((L$1)/10,0)*10,[1]Hugst!$R$4:$W$4,0))))</f>
        <v>507.61257041558929</v>
      </c>
      <c r="M86" s="168">
        <f ca="1">IF($C86-M$1&lt;År1,0,L85*(1-VLOOKUP($A86,[1]Hugst!$R$5:$W$9,MATCH(ROUNDUP((M$1)/10,0)*10,[1]Hugst!$R$4:$W$4,0))))</f>
        <v>509.3372482740715</v>
      </c>
      <c r="N86" s="168">
        <f ca="1">IF($C86-N$1&lt;År1,0,M85*(1-VLOOKUP($A86,[1]Hugst!$R$5:$W$9,MATCH(ROUNDUP((N$1)/10,0)*10,[1]Hugst!$R$4:$W$4,0))))</f>
        <v>511.06933071800177</v>
      </c>
      <c r="O86" s="168">
        <f ca="1">IF($C86-O$1&lt;År1,0,N85*(1-VLOOKUP($A86,[1]Hugst!$R$5:$W$9,MATCH(ROUNDUP((O$1)/10,0)*10,[1]Hugst!$R$4:$W$4,0))))</f>
        <v>512.80885302813749</v>
      </c>
      <c r="P86" s="168">
        <f ca="1">IF($C86-P$1&lt;År1,0,O85*(1-VLOOKUP($A86,[1]Hugst!$R$5:$W$9,MATCH(ROUNDUP((P$1)/10,0)*10,[1]Hugst!$R$4:$W$4,0))))</f>
        <v>513.77093495516567</v>
      </c>
      <c r="Q86" s="168">
        <f ca="1">IF($C86-Q$1&lt;År1,0,P85*(1-VLOOKUP($A86,[1]Hugst!$R$5:$W$9,MATCH(ROUNDUP((Q$1)/10,0)*10,[1]Hugst!$R$4:$W$4,0))))</f>
        <v>514.73637650731723</v>
      </c>
      <c r="R86" s="168">
        <f ca="1">IF($C86-R$1&lt;År1,0,Q85*(1-VLOOKUP($A86,[1]Hugst!$R$5:$W$9,MATCH(ROUNDUP((R$1)/10,0)*10,[1]Hugst!$R$4:$W$4,0))))</f>
        <v>515.70518941662135</v>
      </c>
      <c r="S86" s="168">
        <f ca="1">IF($C86-S$1&lt;År1,0,R85*(1-VLOOKUP($A86,[1]Hugst!$R$5:$W$9,MATCH(ROUNDUP((S$1)/10,0)*10,[1]Hugst!$R$4:$W$4,0))))</f>
        <v>516.67738545586178</v>
      </c>
      <c r="T86" s="168">
        <f ca="1">IF($C86-T$1&lt;År1,0,S85*(1-VLOOKUP($A86,[1]Hugst!$R$5:$W$9,MATCH(ROUNDUP((T$1)/10,0)*10,[1]Hugst!$R$4:$W$4,0))))</f>
        <v>518.48164172057227</v>
      </c>
      <c r="U86" s="168">
        <f ca="1">IF($C86-U$1&lt;År1,0,T85*(1-VLOOKUP($A86,[1]Hugst!$R$5:$W$9,MATCH(ROUNDUP((U$1)/10,0)*10,[1]Hugst!$R$4:$W$4,0))))</f>
        <v>520.29219851390053</v>
      </c>
      <c r="V86" s="168">
        <f ca="1">IF($C86-V$1&lt;År1,0,U85*(1-VLOOKUP($A86,[1]Hugst!$R$5:$W$9,MATCH(ROUNDUP((V$1)/10,0)*10,[1]Hugst!$R$4:$W$4,0))))</f>
        <v>522.10907783755408</v>
      </c>
      <c r="W86" s="168">
        <f ca="1">IF($C86-W$1&lt;År1,0,V85*(1-VLOOKUP($A86,[1]Hugst!$R$5:$W$9,MATCH(ROUNDUP((W$1)/10,0)*10,[1]Hugst!$R$4:$W$4,0))))</f>
        <v>523.93230177003909</v>
      </c>
      <c r="X86" s="168">
        <f ca="1">IF($C86-X$1&lt;År1,0,W85*(1-VLOOKUP($A86,[1]Hugst!$R$5:$W$9,MATCH(ROUNDUP((X$1)/10,0)*10,[1]Hugst!$R$4:$W$4,0))))</f>
        <v>525.76189246696435</v>
      </c>
      <c r="Y86" s="168">
        <f ca="1">IF($C86-Y$1&lt;År1,0,X85*(1-VLOOKUP($A86,[1]Hugst!$R$5:$W$9,MATCH(ROUNDUP((Y$1)/10,0)*10,[1]Hugst!$R$4:$W$4,0))))</f>
        <v>527.597872161297</v>
      </c>
      <c r="Z86" s="168">
        <f ca="1">IF($C86-Z$1&lt;År1,0,Y85*(1-VLOOKUP($A86,[1]Hugst!$R$5:$W$9,MATCH(ROUNDUP((Z$1)/10,0)*10,[1]Hugst!$R$4:$W$4,0))))</f>
        <v>529.32792224887442</v>
      </c>
      <c r="AA86" s="168">
        <f ca="1">IF($C86-AA$1&lt;År1,0,Z85*(1-VLOOKUP($A86,[1]Hugst!$R$5:$W$9,MATCH(ROUNDUP((AA$1)/10,0)*10,[1]Hugst!$R$4:$W$4,0))))</f>
        <v>531.06364535648015</v>
      </c>
      <c r="AB86" s="168">
        <f ca="1">IF($C86-AB$1&lt;År1,0,AA85*(1-VLOOKUP($A86,[1]Hugst!$R$5:$W$9,MATCH(ROUNDUP((AB$1)/10,0)*10,[1]Hugst!$R$4:$W$4,0))))</f>
        <v>532.80506008660325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175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484.61241883374169</v>
      </c>
      <c r="E87" s="168">
        <f t="shared" ca="1" si="1"/>
        <v>11.592648523483149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496.20506735722483</v>
      </c>
      <c r="G87" s="168">
        <f ca="1">IF($C87-G$1&lt;År1,0,F86*(1-VLOOKUP($A87,[1]Hugst!$R$5:$W$9,MATCH(ROUNDUP((G$1)/10,0)*10,[1]Hugst!$R$4:$W$4,0))))</f>
        <v>497.76320882435539</v>
      </c>
      <c r="H87" s="168">
        <f ca="1">IF($C87-H$1&lt;År1,0,G86*(1-VLOOKUP($A87,[1]Hugst!$R$5:$W$9,MATCH(ROUNDUP((H$1)/10,0)*10,[1]Hugst!$R$4:$W$4,0))))</f>
        <v>499.32882135275577</v>
      </c>
      <c r="I87" s="168">
        <f ca="1">IF($C87-I$1&lt;År1,0,H86*(1-VLOOKUP($A87,[1]Hugst!$R$5:$W$9,MATCH(ROUNDUP((I$1)/10,0)*10,[1]Hugst!$R$4:$W$4,0))))</f>
        <v>500.90194353023617</v>
      </c>
      <c r="J87" s="168">
        <f ca="1">IF($C87-J$1&lt;År1,0,I86*(1-VLOOKUP($A87,[1]Hugst!$R$5:$W$9,MATCH(ROUNDUP((J$1)/10,0)*10,[1]Hugst!$R$4:$W$4,0))))</f>
        <v>502.48261414250192</v>
      </c>
      <c r="K87" s="168">
        <f ca="1">IF($C87-K$1&lt;År1,0,J86*(1-VLOOKUP($A87,[1]Hugst!$R$5:$W$9,MATCH(ROUNDUP((K$1)/10,0)*10,[1]Hugst!$R$4:$W$4,0))))</f>
        <v>504.18528819858875</v>
      </c>
      <c r="L87" s="168">
        <f ca="1">IF($C87-L$1&lt;År1,0,K86*(1-VLOOKUP($A87,[1]Hugst!$R$5:$W$9,MATCH(ROUNDUP((L$1)/10,0)*10,[1]Hugst!$R$4:$W$4,0))))</f>
        <v>505.89526203530295</v>
      </c>
      <c r="M87" s="168">
        <f ca="1">IF($C87-M$1&lt;År1,0,L86*(1-VLOOKUP($A87,[1]Hugst!$R$5:$W$9,MATCH(ROUNDUP((M$1)/10,0)*10,[1]Hugst!$R$4:$W$4,0))))</f>
        <v>507.61257041558929</v>
      </c>
      <c r="N87" s="168">
        <f ca="1">IF($C87-N$1&lt;År1,0,M86*(1-VLOOKUP($A87,[1]Hugst!$R$5:$W$9,MATCH(ROUNDUP((N$1)/10,0)*10,[1]Hugst!$R$4:$W$4,0))))</f>
        <v>509.3372482740715</v>
      </c>
      <c r="O87" s="168">
        <f ca="1">IF($C87-O$1&lt;År1,0,N86*(1-VLOOKUP($A87,[1]Hugst!$R$5:$W$9,MATCH(ROUNDUP((O$1)/10,0)*10,[1]Hugst!$R$4:$W$4,0))))</f>
        <v>511.06933071800177</v>
      </c>
      <c r="P87" s="168">
        <f ca="1">IF($C87-P$1&lt;År1,0,O86*(1-VLOOKUP($A87,[1]Hugst!$R$5:$W$9,MATCH(ROUNDUP((P$1)/10,0)*10,[1]Hugst!$R$4:$W$4,0))))</f>
        <v>512.02660223538271</v>
      </c>
      <c r="Q87" s="168">
        <f ca="1">IF($C87-Q$1&lt;År1,0,P86*(1-VLOOKUP($A87,[1]Hugst!$R$5:$W$9,MATCH(ROUNDUP((Q$1)/10,0)*10,[1]Hugst!$R$4:$W$4,0))))</f>
        <v>512.98721657981037</v>
      </c>
      <c r="R87" s="168">
        <f ca="1">IF($C87-R$1&lt;År1,0,Q86*(1-VLOOKUP($A87,[1]Hugst!$R$5:$W$9,MATCH(ROUNDUP((R$1)/10,0)*10,[1]Hugst!$R$4:$W$4,0))))</f>
        <v>513.95118542450939</v>
      </c>
      <c r="S87" s="168">
        <f ca="1">IF($C87-S$1&lt;År1,0,R86*(1-VLOOKUP($A87,[1]Hugst!$R$5:$W$9,MATCH(ROUNDUP((S$1)/10,0)*10,[1]Hugst!$R$4:$W$4,0))))</f>
        <v>514.91852048361295</v>
      </c>
      <c r="T87" s="168">
        <f ca="1">IF($C87-T$1&lt;År1,0,S86*(1-VLOOKUP($A87,[1]Hugst!$R$5:$W$9,MATCH(ROUNDUP((T$1)/10,0)*10,[1]Hugst!$R$4:$W$4,0))))</f>
        <v>515.88923351194603</v>
      </c>
      <c r="U87" s="168">
        <f ca="1">IF($C87-U$1&lt;År1,0,T86*(1-VLOOKUP($A87,[1]Hugst!$R$5:$W$9,MATCH(ROUNDUP((U$1)/10,0)*10,[1]Hugst!$R$4:$W$4,0))))</f>
        <v>517.6907375213375</v>
      </c>
      <c r="V87" s="168">
        <f ca="1">IF($C87-V$1&lt;År1,0,U86*(1-VLOOKUP($A87,[1]Hugst!$R$5:$W$9,MATCH(ROUNDUP((V$1)/10,0)*10,[1]Hugst!$R$4:$W$4,0))))</f>
        <v>519.49853244837084</v>
      </c>
      <c r="W87" s="168">
        <f ca="1">IF($C87-W$1&lt;År1,0,V86*(1-VLOOKUP($A87,[1]Hugst!$R$5:$W$9,MATCH(ROUNDUP((W$1)/10,0)*10,[1]Hugst!$R$4:$W$4,0))))</f>
        <v>521.31264026119175</v>
      </c>
      <c r="X87" s="168">
        <f ca="1">IF($C87-X$1&lt;År1,0,W86*(1-VLOOKUP($A87,[1]Hugst!$R$5:$W$9,MATCH(ROUNDUP((X$1)/10,0)*10,[1]Hugst!$R$4:$W$4,0))))</f>
        <v>523.13308300462711</v>
      </c>
      <c r="Y87" s="168">
        <f ca="1">IF($C87-Y$1&lt;År1,0,X86*(1-VLOOKUP($A87,[1]Hugst!$R$5:$W$9,MATCH(ROUNDUP((Y$1)/10,0)*10,[1]Hugst!$R$4:$W$4,0))))</f>
        <v>524.95988280048925</v>
      </c>
      <c r="Z87" s="168">
        <f ca="1">IF($C87-Z$1&lt;År1,0,Y86*(1-VLOOKUP($A87,[1]Hugst!$R$5:$W$9,MATCH(ROUNDUP((Z$1)/10,0)*10,[1]Hugst!$R$4:$W$4,0))))</f>
        <v>526.68128263762696</v>
      </c>
      <c r="AA87" s="168">
        <f ca="1">IF($C87-AA$1&lt;År1,0,Z86*(1-VLOOKUP($A87,[1]Hugst!$R$5:$W$9,MATCH(ROUNDUP((AA$1)/10,0)*10,[1]Hugst!$R$4:$W$4,0))))</f>
        <v>528.40832712971326</v>
      </c>
      <c r="AB87" s="168">
        <f ca="1">IF($C87-AB$1&lt;År1,0,AA86*(1-VLOOKUP($A87,[1]Hugst!$R$5:$W$9,MATCH(ROUNDUP((AB$1)/10,0)*10,[1]Hugst!$R$4:$W$4,0))))</f>
        <v>530.14103478615743</v>
      </c>
      <c r="AC87" s="168">
        <f ca="1">IF($C87-AC$1&lt;År1,0,AB86*(1-VLOOKUP($A87,[1]Hugst!$R$5:$W$9,MATCH(ROUNDUP((AC$1)/10,0)*10,[1]Hugst!$R$4:$W$4,0))))</f>
        <v>531.87942417713077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175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482.18935673957458</v>
      </c>
      <c r="E88" s="168">
        <f t="shared" ca="1" si="1"/>
        <v>12.465001820828547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494.65435856040313</v>
      </c>
      <c r="G88" s="168">
        <f ca="1">IF($C88-G$1&lt;År1,0,F87*(1-VLOOKUP($A88,[1]Hugst!$R$5:$W$9,MATCH(ROUNDUP((G$1)/10,0)*10,[1]Hugst!$R$4:$W$4,0))))</f>
        <v>496.20506735722483</v>
      </c>
      <c r="H88" s="168">
        <f ca="1">IF($C88-H$1&lt;År1,0,G87*(1-VLOOKUP($A88,[1]Hugst!$R$5:$W$9,MATCH(ROUNDUP((H$1)/10,0)*10,[1]Hugst!$R$4:$W$4,0))))</f>
        <v>497.76320882435539</v>
      </c>
      <c r="I88" s="168">
        <f ca="1">IF($C88-I$1&lt;År1,0,H87*(1-VLOOKUP($A88,[1]Hugst!$R$5:$W$9,MATCH(ROUNDUP((I$1)/10,0)*10,[1]Hugst!$R$4:$W$4,0))))</f>
        <v>499.32882135275577</v>
      </c>
      <c r="J88" s="168">
        <f ca="1">IF($C88-J$1&lt;År1,0,I87*(1-VLOOKUP($A88,[1]Hugst!$R$5:$W$9,MATCH(ROUNDUP((J$1)/10,0)*10,[1]Hugst!$R$4:$W$4,0))))</f>
        <v>500.90194353023617</v>
      </c>
      <c r="K88" s="168">
        <f ca="1">IF($C88-K$1&lt;År1,0,J87*(1-VLOOKUP($A88,[1]Hugst!$R$5:$W$9,MATCH(ROUNDUP((K$1)/10,0)*10,[1]Hugst!$R$4:$W$4,0))))</f>
        <v>502.48261414250192</v>
      </c>
      <c r="L88" s="168">
        <f ca="1">IF($C88-L$1&lt;År1,0,K87*(1-VLOOKUP($A88,[1]Hugst!$R$5:$W$9,MATCH(ROUNDUP((L$1)/10,0)*10,[1]Hugst!$R$4:$W$4,0))))</f>
        <v>504.18528819858875</v>
      </c>
      <c r="M88" s="168">
        <f ca="1">IF($C88-M$1&lt;År1,0,L87*(1-VLOOKUP($A88,[1]Hugst!$R$5:$W$9,MATCH(ROUNDUP((M$1)/10,0)*10,[1]Hugst!$R$4:$W$4,0))))</f>
        <v>505.89526203530295</v>
      </c>
      <c r="N88" s="168">
        <f ca="1">IF($C88-N$1&lt;År1,0,M87*(1-VLOOKUP($A88,[1]Hugst!$R$5:$W$9,MATCH(ROUNDUP((N$1)/10,0)*10,[1]Hugst!$R$4:$W$4,0))))</f>
        <v>507.61257041558929</v>
      </c>
      <c r="O88" s="168">
        <f ca="1">IF($C88-O$1&lt;År1,0,N87*(1-VLOOKUP($A88,[1]Hugst!$R$5:$W$9,MATCH(ROUNDUP((O$1)/10,0)*10,[1]Hugst!$R$4:$W$4,0))))</f>
        <v>509.3372482740715</v>
      </c>
      <c r="P88" s="168">
        <f ca="1">IF($C88-P$1&lt;År1,0,O87*(1-VLOOKUP($A88,[1]Hugst!$R$5:$W$9,MATCH(ROUNDUP((P$1)/10,0)*10,[1]Hugst!$R$4:$W$4,0))))</f>
        <v>510.28973343385564</v>
      </c>
      <c r="Q88" s="168">
        <f ca="1">IF($C88-Q$1&lt;År1,0,P87*(1-VLOOKUP($A88,[1]Hugst!$R$5:$W$9,MATCH(ROUNDUP((Q$1)/10,0)*10,[1]Hugst!$R$4:$W$4,0))))</f>
        <v>511.24554470654908</v>
      </c>
      <c r="R88" s="168">
        <f ca="1">IF($C88-R$1&lt;År1,0,Q87*(1-VLOOKUP($A88,[1]Hugst!$R$5:$W$9,MATCH(ROUNDUP((R$1)/10,0)*10,[1]Hugst!$R$4:$W$4,0))))</f>
        <v>512.20469370706144</v>
      </c>
      <c r="S88" s="168">
        <f ca="1">IF($C88-S$1&lt;År1,0,R87*(1-VLOOKUP($A88,[1]Hugst!$R$5:$W$9,MATCH(ROUNDUP((S$1)/10,0)*10,[1]Hugst!$R$4:$W$4,0))))</f>
        <v>513.167192090811</v>
      </c>
      <c r="T88" s="168">
        <f ca="1">IF($C88-T$1&lt;År1,0,S87*(1-VLOOKUP($A88,[1]Hugst!$R$5:$W$9,MATCH(ROUNDUP((T$1)/10,0)*10,[1]Hugst!$R$4:$W$4,0))))</f>
        <v>514.13305155406169</v>
      </c>
      <c r="U88" s="168">
        <f ca="1">IF($C88-U$1&lt;År1,0,T87*(1-VLOOKUP($A88,[1]Hugst!$R$5:$W$9,MATCH(ROUNDUP((U$1)/10,0)*10,[1]Hugst!$R$4:$W$4,0))))</f>
        <v>515.10228383370747</v>
      </c>
      <c r="V88" s="168">
        <f ca="1">IF($C88-V$1&lt;År1,0,U87*(1-VLOOKUP($A88,[1]Hugst!$R$5:$W$9,MATCH(ROUNDUP((V$1)/10,0)*10,[1]Hugst!$R$4:$W$4,0))))</f>
        <v>516.90103978613547</v>
      </c>
      <c r="W88" s="168">
        <f ca="1">IF($C88-W$1&lt;År1,0,V87*(1-VLOOKUP($A88,[1]Hugst!$R$5:$W$9,MATCH(ROUNDUP((W$1)/10,0)*10,[1]Hugst!$R$4:$W$4,0))))</f>
        <v>518.70607705989028</v>
      </c>
      <c r="X88" s="168">
        <f ca="1">IF($C88-X$1&lt;År1,0,W87*(1-VLOOKUP($A88,[1]Hugst!$R$5:$W$9,MATCH(ROUNDUP((X$1)/10,0)*10,[1]Hugst!$R$4:$W$4,0))))</f>
        <v>520.51741758960691</v>
      </c>
      <c r="Y88" s="168">
        <f ca="1">IF($C88-Y$1&lt;År1,0,X87*(1-VLOOKUP($A88,[1]Hugst!$R$5:$W$9,MATCH(ROUNDUP((Y$1)/10,0)*10,[1]Hugst!$R$4:$W$4,0))))</f>
        <v>522.33508338648448</v>
      </c>
      <c r="Z88" s="168">
        <f ca="1">IF($C88-Z$1&lt;År1,0,Y87*(1-VLOOKUP($A88,[1]Hugst!$R$5:$W$9,MATCH(ROUNDUP((Z$1)/10,0)*10,[1]Hugst!$R$4:$W$4,0))))</f>
        <v>524.04787622443757</v>
      </c>
      <c r="AA88" s="168">
        <f ca="1">IF($C88-AA$1&lt;År1,0,Z87*(1-VLOOKUP($A88,[1]Hugst!$R$5:$W$9,MATCH(ROUNDUP((AA$1)/10,0)*10,[1]Hugst!$R$4:$W$4,0))))</f>
        <v>525.76628549406155</v>
      </c>
      <c r="AB88" s="168">
        <f ca="1">IF($C88-AB$1&lt;År1,0,AA87*(1-VLOOKUP($A88,[1]Hugst!$R$5:$W$9,MATCH(ROUNDUP((AB$1)/10,0)*10,[1]Hugst!$R$4:$W$4,0))))</f>
        <v>527.49032961224214</v>
      </c>
      <c r="AC88" s="168">
        <f ca="1">IF($C88-AC$1&lt;År1,0,AB87*(1-VLOOKUP($A88,[1]Hugst!$R$5:$W$9,MATCH(ROUNDUP((AC$1)/10,0)*10,[1]Hugst!$R$4:$W$4,0))))</f>
        <v>529.22002705623231</v>
      </c>
      <c r="AD88" s="168">
        <f ca="1">IF($C88-AD$1&lt;År1,0,AC87*(1-VLOOKUP($A88,[1]Hugst!$R$5:$W$9,MATCH(ROUNDUP((AD$1)/10,0)*10,[1]Hugst!$R$4:$W$4,0))))</f>
        <v>530.95539636394165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175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479.77840995587758</v>
      </c>
      <c r="E89" s="168">
        <f t="shared" ca="1" si="1"/>
        <v>13.332634282924118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493.1110442388017</v>
      </c>
      <c r="G89" s="168">
        <f ca="1">IF($C89-G$1&lt;År1,0,F88*(1-VLOOKUP($A89,[1]Hugst!$R$5:$W$9,MATCH(ROUNDUP((G$1)/10,0)*10,[1]Hugst!$R$4:$W$4,0))))</f>
        <v>494.65435856040313</v>
      </c>
      <c r="H89" s="168">
        <f ca="1">IF($C89-H$1&lt;År1,0,G88*(1-VLOOKUP($A89,[1]Hugst!$R$5:$W$9,MATCH(ROUNDUP((H$1)/10,0)*10,[1]Hugst!$R$4:$W$4,0))))</f>
        <v>496.20506735722483</v>
      </c>
      <c r="I89" s="168">
        <f ca="1">IF($C89-I$1&lt;År1,0,H88*(1-VLOOKUP($A89,[1]Hugst!$R$5:$W$9,MATCH(ROUNDUP((I$1)/10,0)*10,[1]Hugst!$R$4:$W$4,0))))</f>
        <v>497.76320882435539</v>
      </c>
      <c r="J89" s="168">
        <f ca="1">IF($C89-J$1&lt;År1,0,I88*(1-VLOOKUP($A89,[1]Hugst!$R$5:$W$9,MATCH(ROUNDUP((J$1)/10,0)*10,[1]Hugst!$R$4:$W$4,0))))</f>
        <v>499.32882135275577</v>
      </c>
      <c r="K89" s="168">
        <f ca="1">IF($C89-K$1&lt;År1,0,J88*(1-VLOOKUP($A89,[1]Hugst!$R$5:$W$9,MATCH(ROUNDUP((K$1)/10,0)*10,[1]Hugst!$R$4:$W$4,0))))</f>
        <v>500.90194353023617</v>
      </c>
      <c r="L89" s="168">
        <f ca="1">IF($C89-L$1&lt;År1,0,K88*(1-VLOOKUP($A89,[1]Hugst!$R$5:$W$9,MATCH(ROUNDUP((L$1)/10,0)*10,[1]Hugst!$R$4:$W$4,0))))</f>
        <v>502.48261414250192</v>
      </c>
      <c r="M89" s="168">
        <f ca="1">IF($C89-M$1&lt;År1,0,L88*(1-VLOOKUP($A89,[1]Hugst!$R$5:$W$9,MATCH(ROUNDUP((M$1)/10,0)*10,[1]Hugst!$R$4:$W$4,0))))</f>
        <v>504.18528819858875</v>
      </c>
      <c r="N89" s="168">
        <f ca="1">IF($C89-N$1&lt;År1,0,M88*(1-VLOOKUP($A89,[1]Hugst!$R$5:$W$9,MATCH(ROUNDUP((N$1)/10,0)*10,[1]Hugst!$R$4:$W$4,0))))</f>
        <v>505.89526203530295</v>
      </c>
      <c r="O89" s="168">
        <f ca="1">IF($C89-O$1&lt;År1,0,N88*(1-VLOOKUP($A89,[1]Hugst!$R$5:$W$9,MATCH(ROUNDUP((O$1)/10,0)*10,[1]Hugst!$R$4:$W$4,0))))</f>
        <v>507.61257041558929</v>
      </c>
      <c r="P89" s="168">
        <f ca="1">IF($C89-P$1&lt;År1,0,O88*(1-VLOOKUP($A89,[1]Hugst!$R$5:$W$9,MATCH(ROUNDUP((P$1)/10,0)*10,[1]Hugst!$R$4:$W$4,0))))</f>
        <v>508.56029314958562</v>
      </c>
      <c r="Q89" s="168">
        <f ca="1">IF($C89-Q$1&lt;År1,0,P88*(1-VLOOKUP($A89,[1]Hugst!$R$5:$W$9,MATCH(ROUNDUP((Q$1)/10,0)*10,[1]Hugst!$R$4:$W$4,0))))</f>
        <v>509.51132536590569</v>
      </c>
      <c r="R89" s="168">
        <f ca="1">IF($C89-R$1&lt;År1,0,Q88*(1-VLOOKUP($A89,[1]Hugst!$R$5:$W$9,MATCH(ROUNDUP((R$1)/10,0)*10,[1]Hugst!$R$4:$W$4,0))))</f>
        <v>510.46567862140347</v>
      </c>
      <c r="S89" s="168">
        <f ca="1">IF($C89-S$1&lt;År1,0,R88*(1-VLOOKUP($A89,[1]Hugst!$R$5:$W$9,MATCH(ROUNDUP((S$1)/10,0)*10,[1]Hugst!$R$4:$W$4,0))))</f>
        <v>511.423364513271</v>
      </c>
      <c r="T89" s="168">
        <f ca="1">IF($C89-T$1&lt;År1,0,S88*(1-VLOOKUP($A89,[1]Hugst!$R$5:$W$9,MATCH(ROUNDUP((T$1)/10,0)*10,[1]Hugst!$R$4:$W$4,0))))</f>
        <v>512.38439467914702</v>
      </c>
      <c r="U89" s="168">
        <f ca="1">IF($C89-U$1&lt;År1,0,T88*(1-VLOOKUP($A89,[1]Hugst!$R$5:$W$9,MATCH(ROUNDUP((U$1)/10,0)*10,[1]Hugst!$R$4:$W$4,0))))</f>
        <v>513.34878079745374</v>
      </c>
      <c r="V89" s="168">
        <f ca="1">IF($C89-V$1&lt;År1,0,U88*(1-VLOOKUP($A89,[1]Hugst!$R$5:$W$9,MATCH(ROUNDUP((V$1)/10,0)*10,[1]Hugst!$R$4:$W$4,0))))</f>
        <v>514.31653458718142</v>
      </c>
      <c r="W89" s="168">
        <f ca="1">IF($C89-W$1&lt;År1,0,V88*(1-VLOOKUP($A89,[1]Hugst!$R$5:$W$9,MATCH(ROUNDUP((W$1)/10,0)*10,[1]Hugst!$R$4:$W$4,0))))</f>
        <v>516.1125466745973</v>
      </c>
      <c r="X89" s="168">
        <f ca="1">IF($C89-X$1&lt;År1,0,W88*(1-VLOOKUP($A89,[1]Hugst!$R$5:$W$9,MATCH(ROUNDUP((X$1)/10,0)*10,[1]Hugst!$R$4:$W$4,0))))</f>
        <v>517.91483050166335</v>
      </c>
      <c r="Y89" s="168">
        <f ca="1">IF($C89-Y$1&lt;År1,0,X88*(1-VLOOKUP($A89,[1]Hugst!$R$5:$W$9,MATCH(ROUNDUP((Y$1)/10,0)*10,[1]Hugst!$R$4:$W$4,0))))</f>
        <v>519.72340796955496</v>
      </c>
      <c r="Z89" s="168">
        <f ca="1">IF($C89-Z$1&lt;År1,0,Y88*(1-VLOOKUP($A89,[1]Hugst!$R$5:$W$9,MATCH(ROUNDUP((Z$1)/10,0)*10,[1]Hugst!$R$4:$W$4,0))))</f>
        <v>521.42763684331305</v>
      </c>
      <c r="AA89" s="168">
        <f ca="1">IF($C89-AA$1&lt;År1,0,Z88*(1-VLOOKUP($A89,[1]Hugst!$R$5:$W$9,MATCH(ROUNDUP((AA$1)/10,0)*10,[1]Hugst!$R$4:$W$4,0))))</f>
        <v>523.13745406659007</v>
      </c>
      <c r="AB89" s="168">
        <f ca="1">IF($C89-AB$1&lt;År1,0,AA88*(1-VLOOKUP($A89,[1]Hugst!$R$5:$W$9,MATCH(ROUNDUP((AB$1)/10,0)*10,[1]Hugst!$R$4:$W$4,0))))</f>
        <v>524.85287796417776</v>
      </c>
      <c r="AC89" s="168">
        <f ca="1">IF($C89-AC$1&lt;År1,0,AB88*(1-VLOOKUP($A89,[1]Hugst!$R$5:$W$9,MATCH(ROUNDUP((AC$1)/10,0)*10,[1]Hugst!$R$4:$W$4,0))))</f>
        <v>526.57392692096664</v>
      </c>
      <c r="AD89" s="168">
        <f ca="1">IF($C89-AD$1&lt;År1,0,AC88*(1-VLOOKUP($A89,[1]Hugst!$R$5:$W$9,MATCH(ROUNDUP((AD$1)/10,0)*10,[1]Hugst!$R$4:$W$4,0))))</f>
        <v>528.30061938210918</v>
      </c>
      <c r="AE89" s="168">
        <f ca="1">IF($C89-AE$1&lt;År1,0,AD88*(1-VLOOKUP($A89,[1]Hugst!$R$5:$W$9,MATCH(ROUNDUP((AE$1)/10,0)*10,[1]Hugst!$R$4:$W$4,0))))</f>
        <v>530.03297385330939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175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477.3795179061126</v>
      </c>
      <c r="E90" s="168">
        <f t="shared" ca="1" si="1"/>
        <v>14.195568486104094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491.57508639221669</v>
      </c>
      <c r="G90" s="168">
        <f ca="1">IF($C90-G$1&lt;År1,0,F89*(1-VLOOKUP($A90,[1]Hugst!$R$5:$W$9,MATCH(ROUNDUP((G$1)/10,0)*10,[1]Hugst!$R$4:$W$4,0))))</f>
        <v>493.1110442388017</v>
      </c>
      <c r="H90" s="168">
        <f ca="1">IF($C90-H$1&lt;År1,0,G89*(1-VLOOKUP($A90,[1]Hugst!$R$5:$W$9,MATCH(ROUNDUP((H$1)/10,0)*10,[1]Hugst!$R$4:$W$4,0))))</f>
        <v>494.65435856040313</v>
      </c>
      <c r="I90" s="168">
        <f ca="1">IF($C90-I$1&lt;År1,0,H89*(1-VLOOKUP($A90,[1]Hugst!$R$5:$W$9,MATCH(ROUNDUP((I$1)/10,0)*10,[1]Hugst!$R$4:$W$4,0))))</f>
        <v>496.20506735722483</v>
      </c>
      <c r="J90" s="168">
        <f ca="1">IF($C90-J$1&lt;År1,0,I89*(1-VLOOKUP($A90,[1]Hugst!$R$5:$W$9,MATCH(ROUNDUP((J$1)/10,0)*10,[1]Hugst!$R$4:$W$4,0))))</f>
        <v>497.76320882435539</v>
      </c>
      <c r="K90" s="168">
        <f ca="1">IF($C90-K$1&lt;År1,0,J89*(1-VLOOKUP($A90,[1]Hugst!$R$5:$W$9,MATCH(ROUNDUP((K$1)/10,0)*10,[1]Hugst!$R$4:$W$4,0))))</f>
        <v>499.32882135275577</v>
      </c>
      <c r="L90" s="168">
        <f ca="1">IF($C90-L$1&lt;År1,0,K89*(1-VLOOKUP($A90,[1]Hugst!$R$5:$W$9,MATCH(ROUNDUP((L$1)/10,0)*10,[1]Hugst!$R$4:$W$4,0))))</f>
        <v>500.90194353023617</v>
      </c>
      <c r="M90" s="168">
        <f ca="1">IF($C90-M$1&lt;År1,0,L89*(1-VLOOKUP($A90,[1]Hugst!$R$5:$W$9,MATCH(ROUNDUP((M$1)/10,0)*10,[1]Hugst!$R$4:$W$4,0))))</f>
        <v>502.48261414250192</v>
      </c>
      <c r="N90" s="168">
        <f ca="1">IF($C90-N$1&lt;År1,0,M89*(1-VLOOKUP($A90,[1]Hugst!$R$5:$W$9,MATCH(ROUNDUP((N$1)/10,0)*10,[1]Hugst!$R$4:$W$4,0))))</f>
        <v>504.18528819858875</v>
      </c>
      <c r="O90" s="168">
        <f ca="1">IF($C90-O$1&lt;År1,0,N89*(1-VLOOKUP($A90,[1]Hugst!$R$5:$W$9,MATCH(ROUNDUP((O$1)/10,0)*10,[1]Hugst!$R$4:$W$4,0))))</f>
        <v>505.89526203530295</v>
      </c>
      <c r="P90" s="168">
        <f ca="1">IF($C90-P$1&lt;År1,0,O89*(1-VLOOKUP($A90,[1]Hugst!$R$5:$W$9,MATCH(ROUNDUP((P$1)/10,0)*10,[1]Hugst!$R$4:$W$4,0))))</f>
        <v>506.83824615563327</v>
      </c>
      <c r="Q90" s="168">
        <f ca="1">IF($C90-Q$1&lt;År1,0,P89*(1-VLOOKUP($A90,[1]Hugst!$R$5:$W$9,MATCH(ROUNDUP((Q$1)/10,0)*10,[1]Hugst!$R$4:$W$4,0))))</f>
        <v>507.78452321088287</v>
      </c>
      <c r="R90" s="168">
        <f ca="1">IF($C90-R$1&lt;År1,0,Q89*(1-VLOOKUP($A90,[1]Hugst!$R$5:$W$9,MATCH(ROUNDUP((R$1)/10,0)*10,[1]Hugst!$R$4:$W$4,0))))</f>
        <v>508.73410470009327</v>
      </c>
      <c r="S90" s="168">
        <f ca="1">IF($C90-S$1&lt;År1,0,R89*(1-VLOOKUP($A90,[1]Hugst!$R$5:$W$9,MATCH(ROUNDUP((S$1)/10,0)*10,[1]Hugst!$R$4:$W$4,0))))</f>
        <v>509.68700216248942</v>
      </c>
      <c r="T90" s="168">
        <f ca="1">IF($C90-T$1&lt;År1,0,S89*(1-VLOOKUP($A90,[1]Hugst!$R$5:$W$9,MATCH(ROUNDUP((T$1)/10,0)*10,[1]Hugst!$R$4:$W$4,0))))</f>
        <v>510.64322717757278</v>
      </c>
      <c r="U90" s="168">
        <f ca="1">IF($C90-U$1&lt;År1,0,T89*(1-VLOOKUP($A90,[1]Hugst!$R$5:$W$9,MATCH(ROUNDUP((U$1)/10,0)*10,[1]Hugst!$R$4:$W$4,0))))</f>
        <v>511.60279136522968</v>
      </c>
      <c r="V90" s="168">
        <f ca="1">IF($C90-V$1&lt;År1,0,U89*(1-VLOOKUP($A90,[1]Hugst!$R$5:$W$9,MATCH(ROUNDUP((V$1)/10,0)*10,[1]Hugst!$R$4:$W$4,0))))</f>
        <v>512.56570638606775</v>
      </c>
      <c r="W90" s="168">
        <f ca="1">IF($C90-W$1&lt;År1,0,V89*(1-VLOOKUP($A90,[1]Hugst!$R$5:$W$9,MATCH(ROUNDUP((W$1)/10,0)*10,[1]Hugst!$R$4:$W$4,0))))</f>
        <v>513.53198394120091</v>
      </c>
      <c r="X90" s="168">
        <f ca="1">IF($C90-X$1&lt;År1,0,W89*(1-VLOOKUP($A90,[1]Hugst!$R$5:$W$9,MATCH(ROUNDUP((X$1)/10,0)*10,[1]Hugst!$R$4:$W$4,0))))</f>
        <v>515.32525634916146</v>
      </c>
      <c r="Y90" s="168">
        <f ca="1">IF($C90-Y$1&lt;År1,0,X89*(1-VLOOKUP($A90,[1]Hugst!$R$5:$W$9,MATCH(ROUNDUP((Y$1)/10,0)*10,[1]Hugst!$R$4:$W$4,0))))</f>
        <v>517.12479092971159</v>
      </c>
      <c r="Z90" s="168">
        <f ca="1">IF($C90-Z$1&lt;År1,0,Y89*(1-VLOOKUP($A90,[1]Hugst!$R$5:$W$9,MATCH(ROUNDUP((Z$1)/10,0)*10,[1]Hugst!$R$4:$W$4,0))))</f>
        <v>518.82049865909937</v>
      </c>
      <c r="AA90" s="168">
        <f ca="1">IF($C90-AA$1&lt;År1,0,Z89*(1-VLOOKUP($A90,[1]Hugst!$R$5:$W$9,MATCH(ROUNDUP((AA$1)/10,0)*10,[1]Hugst!$R$4:$W$4,0))))</f>
        <v>520.52176679625472</v>
      </c>
      <c r="AB90" s="168">
        <f ca="1">IF($C90-AB$1&lt;År1,0,AA89*(1-VLOOKUP($A90,[1]Hugst!$R$5:$W$9,MATCH(ROUNDUP((AB$1)/10,0)*10,[1]Hugst!$R$4:$W$4,0))))</f>
        <v>522.22861357435568</v>
      </c>
      <c r="AC90" s="168">
        <f ca="1">IF($C90-AC$1&lt;År1,0,AB89*(1-VLOOKUP($A90,[1]Hugst!$R$5:$W$9,MATCH(ROUNDUP((AC$1)/10,0)*10,[1]Hugst!$R$4:$W$4,0))))</f>
        <v>523.94105728635861</v>
      </c>
      <c r="AD90" s="168">
        <f ca="1">IF($C90-AD$1&lt;År1,0,AC89*(1-VLOOKUP($A90,[1]Hugst!$R$5:$W$9,MATCH(ROUNDUP((AD$1)/10,0)*10,[1]Hugst!$R$4:$W$4,0))))</f>
        <v>525.65911628521405</v>
      </c>
      <c r="AE90" s="168">
        <f ca="1">IF($C90-AE$1&lt;År1,0,AD89*(1-VLOOKUP($A90,[1]Hugst!$R$5:$W$9,MATCH(ROUNDUP((AE$1)/10,0)*10,[1]Hugst!$R$4:$W$4,0))))</f>
        <v>527.38280898403002</v>
      </c>
      <c r="AF90" s="168">
        <f ca="1">IF($C90-AF$1&lt;År1,0,AE89*(1-VLOOKUP($A90,[1]Hugst!$R$5:$W$9,MATCH(ROUNDUP((AF$1)/10,0)*10,[1]Hugst!$R$4:$W$4,0))))</f>
        <v>529.11215385636081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175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474.99262031655235</v>
      </c>
      <c r="E91" s="168">
        <f t="shared" ca="1" si="1"/>
        <v>15.053826897736144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490.04644721428849</v>
      </c>
      <c r="G91" s="168">
        <f ca="1">IF($C91-G$1&lt;År1,0,F90*(1-VLOOKUP($A91,[1]Hugst!$R$5:$W$9,MATCH(ROUNDUP((G$1)/10,0)*10,[1]Hugst!$R$4:$W$4,0))))</f>
        <v>491.57508639221669</v>
      </c>
      <c r="H91" s="168">
        <f ca="1">IF($C91-H$1&lt;År1,0,G90*(1-VLOOKUP($A91,[1]Hugst!$R$5:$W$9,MATCH(ROUNDUP((H$1)/10,0)*10,[1]Hugst!$R$4:$W$4,0))))</f>
        <v>493.1110442388017</v>
      </c>
      <c r="I91" s="168">
        <f ca="1">IF($C91-I$1&lt;År1,0,H90*(1-VLOOKUP($A91,[1]Hugst!$R$5:$W$9,MATCH(ROUNDUP((I$1)/10,0)*10,[1]Hugst!$R$4:$W$4,0))))</f>
        <v>494.65435856040313</v>
      </c>
      <c r="J91" s="168">
        <f ca="1">IF($C91-J$1&lt;År1,0,I90*(1-VLOOKUP($A91,[1]Hugst!$R$5:$W$9,MATCH(ROUNDUP((J$1)/10,0)*10,[1]Hugst!$R$4:$W$4,0))))</f>
        <v>496.20506735722483</v>
      </c>
      <c r="K91" s="168">
        <f ca="1">IF($C91-K$1&lt;År1,0,J90*(1-VLOOKUP($A91,[1]Hugst!$R$5:$W$9,MATCH(ROUNDUP((K$1)/10,0)*10,[1]Hugst!$R$4:$W$4,0))))</f>
        <v>497.76320882435539</v>
      </c>
      <c r="L91" s="168">
        <f ca="1">IF($C91-L$1&lt;År1,0,K90*(1-VLOOKUP($A91,[1]Hugst!$R$5:$W$9,MATCH(ROUNDUP((L$1)/10,0)*10,[1]Hugst!$R$4:$W$4,0))))</f>
        <v>499.32882135275577</v>
      </c>
      <c r="M91" s="168">
        <f ca="1">IF($C91-M$1&lt;År1,0,L90*(1-VLOOKUP($A91,[1]Hugst!$R$5:$W$9,MATCH(ROUNDUP((M$1)/10,0)*10,[1]Hugst!$R$4:$W$4,0))))</f>
        <v>500.90194353023617</v>
      </c>
      <c r="N91" s="168">
        <f ca="1">IF($C91-N$1&lt;År1,0,M90*(1-VLOOKUP($A91,[1]Hugst!$R$5:$W$9,MATCH(ROUNDUP((N$1)/10,0)*10,[1]Hugst!$R$4:$W$4,0))))</f>
        <v>502.48261414250192</v>
      </c>
      <c r="O91" s="168">
        <f ca="1">IF($C91-O$1&lt;År1,0,N90*(1-VLOOKUP($A91,[1]Hugst!$R$5:$W$9,MATCH(ROUNDUP((O$1)/10,0)*10,[1]Hugst!$R$4:$W$4,0))))</f>
        <v>504.18528819858875</v>
      </c>
      <c r="P91" s="168">
        <f ca="1">IF($C91-P$1&lt;År1,0,O90*(1-VLOOKUP($A91,[1]Hugst!$R$5:$W$9,MATCH(ROUNDUP((P$1)/10,0)*10,[1]Hugst!$R$4:$W$4,0))))</f>
        <v>505.12355739829991</v>
      </c>
      <c r="Q91" s="168">
        <f ca="1">IF($C91-Q$1&lt;År1,0,P90*(1-VLOOKUP($A91,[1]Hugst!$R$5:$W$9,MATCH(ROUNDUP((Q$1)/10,0)*10,[1]Hugst!$R$4:$W$4,0))))</f>
        <v>506.06510306827721</v>
      </c>
      <c r="R91" s="168">
        <f ca="1">IF($C91-R$1&lt;År1,0,Q90*(1-VLOOKUP($A91,[1]Hugst!$R$5:$W$9,MATCH(ROUNDUP((R$1)/10,0)*10,[1]Hugst!$R$4:$W$4,0))))</f>
        <v>507.00993665005268</v>
      </c>
      <c r="S91" s="168">
        <f ca="1">IF($C91-S$1&lt;År1,0,R90*(1-VLOOKUP($A91,[1]Hugst!$R$5:$W$9,MATCH(ROUNDUP((S$1)/10,0)*10,[1]Hugst!$R$4:$W$4,0))))</f>
        <v>507.958069625127</v>
      </c>
      <c r="T91" s="168">
        <f ca="1">IF($C91-T$1&lt;År1,0,S90*(1-VLOOKUP($A91,[1]Hugst!$R$5:$W$9,MATCH(ROUNDUP((T$1)/10,0)*10,[1]Hugst!$R$4:$W$4,0))))</f>
        <v>508.90951351512291</v>
      </c>
      <c r="U91" s="168">
        <f ca="1">IF($C91-U$1&lt;År1,0,T90*(1-VLOOKUP($A91,[1]Hugst!$R$5:$W$9,MATCH(ROUNDUP((U$1)/10,0)*10,[1]Hugst!$R$4:$W$4,0))))</f>
        <v>509.86427988187819</v>
      </c>
      <c r="V91" s="168">
        <f ca="1">IF($C91-V$1&lt;År1,0,U90*(1-VLOOKUP($A91,[1]Hugst!$R$5:$W$9,MATCH(ROUNDUP((V$1)/10,0)*10,[1]Hugst!$R$4:$W$4,0))))</f>
        <v>510.8223803275539</v>
      </c>
      <c r="W91" s="168">
        <f ca="1">IF($C91-W$1&lt;År1,0,V90*(1-VLOOKUP($A91,[1]Hugst!$R$5:$W$9,MATCH(ROUNDUP((W$1)/10,0)*10,[1]Hugst!$R$4:$W$4,0))))</f>
        <v>511.78382649497036</v>
      </c>
      <c r="X91" s="168">
        <f ca="1">IF($C91-X$1&lt;År1,0,W90*(1-VLOOKUP($A91,[1]Hugst!$R$5:$W$9,MATCH(ROUNDUP((X$1)/10,0)*10,[1]Hugst!$R$4:$W$4,0))))</f>
        <v>512.74863006739224</v>
      </c>
      <c r="Y91" s="168">
        <f ca="1">IF($C91-Y$1&lt;År1,0,X90*(1-VLOOKUP($A91,[1]Hugst!$R$5:$W$9,MATCH(ROUNDUP((Y$1)/10,0)*10,[1]Hugst!$R$4:$W$4,0))))</f>
        <v>514.53916697506952</v>
      </c>
      <c r="Z91" s="168">
        <f ca="1">IF($C91-Z$1&lt;År1,0,Y90*(1-VLOOKUP($A91,[1]Hugst!$R$5:$W$9,MATCH(ROUNDUP((Z$1)/10,0)*10,[1]Hugst!$R$4:$W$4,0))))</f>
        <v>516.2263961658083</v>
      </c>
      <c r="AA91" s="168">
        <f ca="1">IF($C91-AA$1&lt;År1,0,Z90*(1-VLOOKUP($A91,[1]Hugst!$R$5:$W$9,MATCH(ROUNDUP((AA$1)/10,0)*10,[1]Hugst!$R$4:$W$4,0))))</f>
        <v>517.91915796227636</v>
      </c>
      <c r="AB91" s="168">
        <f ca="1">IF($C91-AB$1&lt;År1,0,AA90*(1-VLOOKUP($A91,[1]Hugst!$R$5:$W$9,MATCH(ROUNDUP((AB$1)/10,0)*10,[1]Hugst!$R$4:$W$4,0))))</f>
        <v>519.6174705064816</v>
      </c>
      <c r="AC91" s="168">
        <f ca="1">IF($C91-AC$1&lt;År1,0,AB90*(1-VLOOKUP($A91,[1]Hugst!$R$5:$W$9,MATCH(ROUNDUP((AC$1)/10,0)*10,[1]Hugst!$R$4:$W$4,0))))</f>
        <v>521.32135199992558</v>
      </c>
      <c r="AD91" s="168">
        <f ca="1">IF($C91-AD$1&lt;År1,0,AC90*(1-VLOOKUP($A91,[1]Hugst!$R$5:$W$9,MATCH(ROUNDUP((AD$1)/10,0)*10,[1]Hugst!$R$4:$W$4,0))))</f>
        <v>523.0308207037848</v>
      </c>
      <c r="AE91" s="168">
        <f ca="1">IF($C91-AE$1&lt;År1,0,AD90*(1-VLOOKUP($A91,[1]Hugst!$R$5:$W$9,MATCH(ROUNDUP((AE$1)/10,0)*10,[1]Hugst!$R$4:$W$4,0))))</f>
        <v>524.74589493912526</v>
      </c>
      <c r="AF91" s="168">
        <f ca="1">IF($C91-AF$1&lt;År1,0,AE90*(1-VLOOKUP($A91,[1]Hugst!$R$5:$W$9,MATCH(ROUNDUP((AF$1)/10,0)*10,[1]Hugst!$R$4:$W$4,0))))</f>
        <v>526.46659308706626</v>
      </c>
      <c r="AG91" s="168">
        <f ca="1">IF($C91-AG$1&lt;År1,0,AF90*(1-VLOOKUP($A91,[1]Hugst!$R$5:$W$9,MATCH(ROUNDUP((AG$1)/10,0)*10,[1]Hugst!$R$4:$W$4,0))))</f>
        <v>528.19293358906793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175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472.61765721498523</v>
      </c>
      <c r="E92" s="168">
        <f t="shared" ca="1" si="1"/>
        <v>15.90743187674525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488.52508909173048</v>
      </c>
      <c r="G92" s="168">
        <f ca="1">IF($C92-G$1&lt;År1,0,F91*(1-VLOOKUP($A92,[1]Hugst!$R$5:$W$9,MATCH(ROUNDUP((G$1)/10,0)*10,[1]Hugst!$R$4:$W$4,0))))</f>
        <v>490.04644721428849</v>
      </c>
      <c r="H92" s="168">
        <f ca="1">IF($C92-H$1&lt;År1,0,G91*(1-VLOOKUP($A92,[1]Hugst!$R$5:$W$9,MATCH(ROUNDUP((H$1)/10,0)*10,[1]Hugst!$R$4:$W$4,0))))</f>
        <v>491.57508639221669</v>
      </c>
      <c r="I92" s="168">
        <f ca="1">IF($C92-I$1&lt;År1,0,H91*(1-VLOOKUP($A92,[1]Hugst!$R$5:$W$9,MATCH(ROUNDUP((I$1)/10,0)*10,[1]Hugst!$R$4:$W$4,0))))</f>
        <v>493.1110442388017</v>
      </c>
      <c r="J92" s="168">
        <f ca="1">IF($C92-J$1&lt;År1,0,I91*(1-VLOOKUP($A92,[1]Hugst!$R$5:$W$9,MATCH(ROUNDUP((J$1)/10,0)*10,[1]Hugst!$R$4:$W$4,0))))</f>
        <v>494.65435856040313</v>
      </c>
      <c r="K92" s="168">
        <f ca="1">IF($C92-K$1&lt;År1,0,J91*(1-VLOOKUP($A92,[1]Hugst!$R$5:$W$9,MATCH(ROUNDUP((K$1)/10,0)*10,[1]Hugst!$R$4:$W$4,0))))</f>
        <v>496.20506735722483</v>
      </c>
      <c r="L92" s="168">
        <f ca="1">IF($C92-L$1&lt;År1,0,K91*(1-VLOOKUP($A92,[1]Hugst!$R$5:$W$9,MATCH(ROUNDUP((L$1)/10,0)*10,[1]Hugst!$R$4:$W$4,0))))</f>
        <v>497.76320882435539</v>
      </c>
      <c r="M92" s="168">
        <f ca="1">IF($C92-M$1&lt;År1,0,L91*(1-VLOOKUP($A92,[1]Hugst!$R$5:$W$9,MATCH(ROUNDUP((M$1)/10,0)*10,[1]Hugst!$R$4:$W$4,0))))</f>
        <v>499.32882135275577</v>
      </c>
      <c r="N92" s="168">
        <f ca="1">IF($C92-N$1&lt;År1,0,M91*(1-VLOOKUP($A92,[1]Hugst!$R$5:$W$9,MATCH(ROUNDUP((N$1)/10,0)*10,[1]Hugst!$R$4:$W$4,0))))</f>
        <v>500.90194353023617</v>
      </c>
      <c r="O92" s="168">
        <f ca="1">IF($C92-O$1&lt;År1,0,N91*(1-VLOOKUP($A92,[1]Hugst!$R$5:$W$9,MATCH(ROUNDUP((O$1)/10,0)*10,[1]Hugst!$R$4:$W$4,0))))</f>
        <v>502.48261414250192</v>
      </c>
      <c r="P92" s="168">
        <f ca="1">IF($C92-P$1&lt;År1,0,O91*(1-VLOOKUP($A92,[1]Hugst!$R$5:$W$9,MATCH(ROUNDUP((P$1)/10,0)*10,[1]Hugst!$R$4:$W$4,0))))</f>
        <v>503.41619199625188</v>
      </c>
      <c r="Q92" s="168">
        <f ca="1">IF($C92-Q$1&lt;År1,0,P91*(1-VLOOKUP($A92,[1]Hugst!$R$5:$W$9,MATCH(ROUNDUP((Q$1)/10,0)*10,[1]Hugst!$R$4:$W$4,0))))</f>
        <v>504.35302993786183</v>
      </c>
      <c r="R92" s="168">
        <f ca="1">IF($C92-R$1&lt;År1,0,Q91*(1-VLOOKUP($A92,[1]Hugst!$R$5:$W$9,MATCH(ROUNDUP((R$1)/10,0)*10,[1]Hugst!$R$4:$W$4,0))))</f>
        <v>505.29313935173235</v>
      </c>
      <c r="S92" s="168">
        <f ca="1">IF($C92-S$1&lt;År1,0,R91*(1-VLOOKUP($A92,[1]Hugst!$R$5:$W$9,MATCH(ROUNDUP((S$1)/10,0)*10,[1]Hugst!$R$4:$W$4,0))))</f>
        <v>506.23653166194242</v>
      </c>
      <c r="T92" s="168">
        <f ca="1">IF($C92-T$1&lt;År1,0,S91*(1-VLOOKUP($A92,[1]Hugst!$R$5:$W$9,MATCH(ROUNDUP((T$1)/10,0)*10,[1]Hugst!$R$4:$W$4,0))))</f>
        <v>507.18321833247848</v>
      </c>
      <c r="U92" s="168">
        <f ca="1">IF($C92-U$1&lt;År1,0,T91*(1-VLOOKUP($A92,[1]Hugst!$R$5:$W$9,MATCH(ROUNDUP((U$1)/10,0)*10,[1]Hugst!$R$4:$W$4,0))))</f>
        <v>508.13321086738796</v>
      </c>
      <c r="V92" s="168">
        <f ca="1">IF($C92-V$1&lt;År1,0,U91*(1-VLOOKUP($A92,[1]Hugst!$R$5:$W$9,MATCH(ROUNDUP((V$1)/10,0)*10,[1]Hugst!$R$4:$W$4,0))))</f>
        <v>509.08652081087195</v>
      </c>
      <c r="W92" s="168">
        <f ca="1">IF($C92-W$1&lt;År1,0,V91*(1-VLOOKUP($A92,[1]Hugst!$R$5:$W$9,MATCH(ROUNDUP((W$1)/10,0)*10,[1]Hugst!$R$4:$W$4,0))))</f>
        <v>510.04315974739319</v>
      </c>
      <c r="X92" s="168">
        <f ca="1">IF($C92-X$1&lt;År1,0,W91*(1-VLOOKUP($A92,[1]Hugst!$R$5:$W$9,MATCH(ROUNDUP((X$1)/10,0)*10,[1]Hugst!$R$4:$W$4,0))))</f>
        <v>511.0031393020119</v>
      </c>
      <c r="Y92" s="168">
        <f ca="1">IF($C92-Y$1&lt;År1,0,X91*(1-VLOOKUP($A92,[1]Hugst!$R$5:$W$9,MATCH(ROUNDUP((Y$1)/10,0)*10,[1]Hugst!$R$4:$W$4,0))))</f>
        <v>511.96647114017077</v>
      </c>
      <c r="Z92" s="168">
        <f ca="1">IF($C92-Z$1&lt;År1,0,Y91*(1-VLOOKUP($A92,[1]Hugst!$R$5:$W$9,MATCH(ROUNDUP((Z$1)/10,0)*10,[1]Hugst!$R$4:$W$4,0))))</f>
        <v>513.64526418498565</v>
      </c>
      <c r="AA92" s="168">
        <f ca="1">IF($C92-AA$1&lt;År1,0,Z91*(1-VLOOKUP($A92,[1]Hugst!$R$5:$W$9,MATCH(ROUNDUP((AA$1)/10,0)*10,[1]Hugst!$R$4:$W$4,0))))</f>
        <v>515.32956217246942</v>
      </c>
      <c r="AB92" s="168">
        <f ca="1">IF($C92-AB$1&lt;År1,0,AA91*(1-VLOOKUP($A92,[1]Hugst!$R$5:$W$9,MATCH(ROUNDUP((AB$1)/10,0)*10,[1]Hugst!$R$4:$W$4,0))))</f>
        <v>517.01938315395205</v>
      </c>
      <c r="AC92" s="168">
        <f ca="1">IF($C92-AC$1&lt;År1,0,AB91*(1-VLOOKUP($A92,[1]Hugst!$R$5:$W$9,MATCH(ROUNDUP((AC$1)/10,0)*10,[1]Hugst!$R$4:$W$4,0))))</f>
        <v>518.71474523992367</v>
      </c>
      <c r="AD92" s="168">
        <f ca="1">IF($C92-AD$1&lt;År1,0,AC91*(1-VLOOKUP($A92,[1]Hugst!$R$5:$W$9,MATCH(ROUNDUP((AD$1)/10,0)*10,[1]Hugst!$R$4:$W$4,0))))</f>
        <v>520.41566660026467</v>
      </c>
      <c r="AE92" s="168">
        <f ca="1">IF($C92-AE$1&lt;År1,0,AD91*(1-VLOOKUP($A92,[1]Hugst!$R$5:$W$9,MATCH(ROUNDUP((AE$1)/10,0)*10,[1]Hugst!$R$4:$W$4,0))))</f>
        <v>522.12216546442653</v>
      </c>
      <c r="AF92" s="168">
        <f ca="1">IF($C92-AF$1&lt;År1,0,AE91*(1-VLOOKUP($A92,[1]Hugst!$R$5:$W$9,MATCH(ROUNDUP((AF$1)/10,0)*10,[1]Hugst!$R$4:$W$4,0))))</f>
        <v>523.83426012164625</v>
      </c>
      <c r="AG92" s="168">
        <f ca="1">IF($C92-AG$1&lt;År1,0,AF91*(1-VLOOKUP($A92,[1]Hugst!$R$5:$W$9,MATCH(ROUNDUP((AG$1)/10,0)*10,[1]Hugst!$R$4:$W$4,0))))</f>
        <v>525.55196892110985</v>
      </c>
      <c r="AH92" s="168">
        <f ca="1">IF($C92-AH$1&lt;År1,0,AG91*(1-VLOOKUP($A92,[1]Hugst!$R$5:$W$9,MATCH(ROUNDUP((AH$1)/10,0)*10,[1]Hugst!$R$4:$W$4,0))))</f>
        <v>527.27531027223949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175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470.25456892891089</v>
      </c>
      <c r="E93" s="168">
        <f t="shared" ca="1" si="1"/>
        <v>16.75640567413393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487.01097460304482</v>
      </c>
      <c r="G93" s="168">
        <f ca="1">IF($C93-G$1&lt;År1,0,F92*(1-VLOOKUP($A93,[1]Hugst!$R$5:$W$9,MATCH(ROUNDUP((G$1)/10,0)*10,[1]Hugst!$R$4:$W$4,0))))</f>
        <v>488.52508909173048</v>
      </c>
      <c r="H93" s="168">
        <f ca="1">IF($C93-H$1&lt;År1,0,G92*(1-VLOOKUP($A93,[1]Hugst!$R$5:$W$9,MATCH(ROUNDUP((H$1)/10,0)*10,[1]Hugst!$R$4:$W$4,0))))</f>
        <v>490.04644721428849</v>
      </c>
      <c r="I93" s="168">
        <f ca="1">IF($C93-I$1&lt;År1,0,H92*(1-VLOOKUP($A93,[1]Hugst!$R$5:$W$9,MATCH(ROUNDUP((I$1)/10,0)*10,[1]Hugst!$R$4:$W$4,0))))</f>
        <v>491.57508639221669</v>
      </c>
      <c r="J93" s="168">
        <f ca="1">IF($C93-J$1&lt;År1,0,I92*(1-VLOOKUP($A93,[1]Hugst!$R$5:$W$9,MATCH(ROUNDUP((J$1)/10,0)*10,[1]Hugst!$R$4:$W$4,0))))</f>
        <v>493.1110442388017</v>
      </c>
      <c r="K93" s="168">
        <f ca="1">IF($C93-K$1&lt;År1,0,J92*(1-VLOOKUP($A93,[1]Hugst!$R$5:$W$9,MATCH(ROUNDUP((K$1)/10,0)*10,[1]Hugst!$R$4:$W$4,0))))</f>
        <v>494.65435856040313</v>
      </c>
      <c r="L93" s="168">
        <f ca="1">IF($C93-L$1&lt;År1,0,K92*(1-VLOOKUP($A93,[1]Hugst!$R$5:$W$9,MATCH(ROUNDUP((L$1)/10,0)*10,[1]Hugst!$R$4:$W$4,0))))</f>
        <v>496.20506735722483</v>
      </c>
      <c r="M93" s="168">
        <f ca="1">IF($C93-M$1&lt;År1,0,L92*(1-VLOOKUP($A93,[1]Hugst!$R$5:$W$9,MATCH(ROUNDUP((M$1)/10,0)*10,[1]Hugst!$R$4:$W$4,0))))</f>
        <v>497.76320882435539</v>
      </c>
      <c r="N93" s="168">
        <f ca="1">IF($C93-N$1&lt;År1,0,M92*(1-VLOOKUP($A93,[1]Hugst!$R$5:$W$9,MATCH(ROUNDUP((N$1)/10,0)*10,[1]Hugst!$R$4:$W$4,0))))</f>
        <v>499.32882135275577</v>
      </c>
      <c r="O93" s="168">
        <f ca="1">IF($C93-O$1&lt;År1,0,N92*(1-VLOOKUP($A93,[1]Hugst!$R$5:$W$9,MATCH(ROUNDUP((O$1)/10,0)*10,[1]Hugst!$R$4:$W$4,0))))</f>
        <v>500.90194353023617</v>
      </c>
      <c r="P93" s="168">
        <f ca="1">IF($C93-P$1&lt;År1,0,O92*(1-VLOOKUP($A93,[1]Hugst!$R$5:$W$9,MATCH(ROUNDUP((P$1)/10,0)*10,[1]Hugst!$R$4:$W$4,0))))</f>
        <v>501.71611523957267</v>
      </c>
      <c r="Q93" s="168">
        <f ca="1">IF($C93-Q$1&lt;År1,0,P92*(1-VLOOKUP($A93,[1]Hugst!$R$5:$W$9,MATCH(ROUNDUP((Q$1)/10,0)*10,[1]Hugst!$R$4:$W$4,0))))</f>
        <v>502.64826899151183</v>
      </c>
      <c r="R93" s="168">
        <f ca="1">IF($C93-R$1&lt;År1,0,Q92*(1-VLOOKUP($A93,[1]Hugst!$R$5:$W$9,MATCH(ROUNDUP((R$1)/10,0)*10,[1]Hugst!$R$4:$W$4,0))))</f>
        <v>503.58367785829557</v>
      </c>
      <c r="S93" s="168">
        <f ca="1">IF($C93-S$1&lt;År1,0,R92*(1-VLOOKUP($A93,[1]Hugst!$R$5:$W$9,MATCH(ROUNDUP((S$1)/10,0)*10,[1]Hugst!$R$4:$W$4,0))))</f>
        <v>504.52235320695848</v>
      </c>
      <c r="T93" s="168">
        <f ca="1">IF($C93-T$1&lt;År1,0,S92*(1-VLOOKUP($A93,[1]Hugst!$R$5:$W$9,MATCH(ROUNDUP((T$1)/10,0)*10,[1]Hugst!$R$4:$W$4,0))))</f>
        <v>505.46430644415301</v>
      </c>
      <c r="U93" s="168">
        <f ca="1">IF($C93-U$1&lt;År1,0,T92*(1-VLOOKUP($A93,[1]Hugst!$R$5:$W$9,MATCH(ROUNDUP((U$1)/10,0)*10,[1]Hugst!$R$4:$W$4,0))))</f>
        <v>506.40954901637809</v>
      </c>
      <c r="V93" s="168">
        <f ca="1">IF($C93-V$1&lt;År1,0,U92*(1-VLOOKUP($A93,[1]Hugst!$R$5:$W$9,MATCH(ROUNDUP((V$1)/10,0)*10,[1]Hugst!$R$4:$W$4,0))))</f>
        <v>507.3580924101326</v>
      </c>
      <c r="W93" s="168">
        <f ca="1">IF($C93-W$1&lt;År1,0,V92*(1-VLOOKUP($A93,[1]Hugst!$R$5:$W$9,MATCH(ROUNDUP((W$1)/10,0)*10,[1]Hugst!$R$4:$W$4,0))))</f>
        <v>508.30994815200791</v>
      </c>
      <c r="X93" s="168">
        <f ca="1">IF($C93-X$1&lt;År1,0,W92*(1-VLOOKUP($A93,[1]Hugst!$R$5:$W$9,MATCH(ROUNDUP((X$1)/10,0)*10,[1]Hugst!$R$4:$W$4,0))))</f>
        <v>509.26512780879546</v>
      </c>
      <c r="Y93" s="168">
        <f ca="1">IF($C93-Y$1&lt;År1,0,X92*(1-VLOOKUP($A93,[1]Hugst!$R$5:$W$9,MATCH(ROUNDUP((Y$1)/10,0)*10,[1]Hugst!$R$4:$W$4,0))))</f>
        <v>510.22364298782236</v>
      </c>
      <c r="Z93" s="168">
        <f ca="1">IF($C93-Z$1&lt;År1,0,Y92*(1-VLOOKUP($A93,[1]Hugst!$R$5:$W$9,MATCH(ROUNDUP((Z$1)/10,0)*10,[1]Hugst!$R$4:$W$4,0))))</f>
        <v>511.07703786403738</v>
      </c>
      <c r="AA93" s="168">
        <f ca="1">IF($C93-AA$1&lt;År1,0,Z92*(1-VLOOKUP($A93,[1]Hugst!$R$5:$W$9,MATCH(ROUNDUP((AA$1)/10,0)*10,[1]Hugst!$R$4:$W$4,0))))</f>
        <v>512.75291436161342</v>
      </c>
      <c r="AB93" s="168">
        <f ca="1">IF($C93-AB$1&lt;År1,0,AA92*(1-VLOOKUP($A93,[1]Hugst!$R$5:$W$9,MATCH(ROUNDUP((AB$1)/10,0)*10,[1]Hugst!$R$4:$W$4,0))))</f>
        <v>514.4342862381867</v>
      </c>
      <c r="AC93" s="168">
        <f ca="1">IF($C93-AC$1&lt;År1,0,AB92*(1-VLOOKUP($A93,[1]Hugst!$R$5:$W$9,MATCH(ROUNDUP((AC$1)/10,0)*10,[1]Hugst!$R$4:$W$4,0))))</f>
        <v>516.12117151372695</v>
      </c>
      <c r="AD93" s="168">
        <f ca="1">IF($C93-AD$1&lt;År1,0,AC92*(1-VLOOKUP($A93,[1]Hugst!$R$5:$W$9,MATCH(ROUNDUP((AD$1)/10,0)*10,[1]Hugst!$R$4:$W$4,0))))</f>
        <v>517.81358826726103</v>
      </c>
      <c r="AE93" s="168">
        <f ca="1">IF($C93-AE$1&lt;År1,0,AD92*(1-VLOOKUP($A93,[1]Hugst!$R$5:$W$9,MATCH(ROUNDUP((AE$1)/10,0)*10,[1]Hugst!$R$4:$W$4,0))))</f>
        <v>519.51155463710313</v>
      </c>
      <c r="AF93" s="168">
        <f ca="1">IF($C93-AF$1&lt;År1,0,AE92*(1-VLOOKUP($A93,[1]Hugst!$R$5:$W$9,MATCH(ROUNDUP((AF$1)/10,0)*10,[1]Hugst!$R$4:$W$4,0))))</f>
        <v>521.2150888210349</v>
      </c>
      <c r="AG93" s="168">
        <f ca="1">IF($C93-AG$1&lt;År1,0,AF92*(1-VLOOKUP($A93,[1]Hugst!$R$5:$W$9,MATCH(ROUNDUP((AG$1)/10,0)*10,[1]Hugst!$R$4:$W$4,0))))</f>
        <v>522.92420907651967</v>
      </c>
      <c r="AH93" s="168">
        <f ca="1">IF($C93-AH$1&lt;År1,0,AG92*(1-VLOOKUP($A93,[1]Hugst!$R$5:$W$9,MATCH(ROUNDUP((AH$1)/10,0)*10,[1]Hugst!$R$4:$W$4,0))))</f>
        <v>524.63893372086557</v>
      </c>
      <c r="AI93" s="168">
        <f ca="1">IF($C93-AI$1&lt;År1,0,AH92*(1-VLOOKUP($A93,[1]Hugst!$R$5:$W$9,MATCH(ROUNDUP((AI$1)/10,0)*10,[1]Hugst!$R$4:$W$4,0))))</f>
        <v>526.35928113151226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175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467.90329608427419</v>
      </c>
      <c r="E94" s="168">
        <f t="shared" ca="1" si="1"/>
        <v>17.155051364685278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485.05834744895947</v>
      </c>
      <c r="G94" s="168">
        <f ca="1">IF($C94-G$1&lt;År1,0,F93*(1-VLOOKUP($A94,[1]Hugst!$R$5:$W$9,MATCH(ROUNDUP((G$1)/10,0)*10,[1]Hugst!$R$4:$W$4,0))))</f>
        <v>487.01097460304482</v>
      </c>
      <c r="H94" s="168">
        <f ca="1">IF($C94-H$1&lt;År1,0,G93*(1-VLOOKUP($A94,[1]Hugst!$R$5:$W$9,MATCH(ROUNDUP((H$1)/10,0)*10,[1]Hugst!$R$4:$W$4,0))))</f>
        <v>488.52508909173048</v>
      </c>
      <c r="I94" s="168">
        <f ca="1">IF($C94-I$1&lt;År1,0,H93*(1-VLOOKUP($A94,[1]Hugst!$R$5:$W$9,MATCH(ROUNDUP((I$1)/10,0)*10,[1]Hugst!$R$4:$W$4,0))))</f>
        <v>490.04644721428849</v>
      </c>
      <c r="J94" s="168">
        <f ca="1">IF($C94-J$1&lt;År1,0,I93*(1-VLOOKUP($A94,[1]Hugst!$R$5:$W$9,MATCH(ROUNDUP((J$1)/10,0)*10,[1]Hugst!$R$4:$W$4,0))))</f>
        <v>491.57508639221669</v>
      </c>
      <c r="K94" s="168">
        <f ca="1">IF($C94-K$1&lt;År1,0,J93*(1-VLOOKUP($A94,[1]Hugst!$R$5:$W$9,MATCH(ROUNDUP((K$1)/10,0)*10,[1]Hugst!$R$4:$W$4,0))))</f>
        <v>493.1110442388017</v>
      </c>
      <c r="L94" s="168">
        <f ca="1">IF($C94-L$1&lt;År1,0,K93*(1-VLOOKUP($A94,[1]Hugst!$R$5:$W$9,MATCH(ROUNDUP((L$1)/10,0)*10,[1]Hugst!$R$4:$W$4,0))))</f>
        <v>494.65435856040313</v>
      </c>
      <c r="M94" s="168">
        <f ca="1">IF($C94-M$1&lt;År1,0,L93*(1-VLOOKUP($A94,[1]Hugst!$R$5:$W$9,MATCH(ROUNDUP((M$1)/10,0)*10,[1]Hugst!$R$4:$W$4,0))))</f>
        <v>496.20506735722483</v>
      </c>
      <c r="N94" s="168">
        <f ca="1">IF($C94-N$1&lt;År1,0,M93*(1-VLOOKUP($A94,[1]Hugst!$R$5:$W$9,MATCH(ROUNDUP((N$1)/10,0)*10,[1]Hugst!$R$4:$W$4,0))))</f>
        <v>497.76320882435539</v>
      </c>
      <c r="O94" s="168">
        <f ca="1">IF($C94-O$1&lt;År1,0,N93*(1-VLOOKUP($A94,[1]Hugst!$R$5:$W$9,MATCH(ROUNDUP((O$1)/10,0)*10,[1]Hugst!$R$4:$W$4,0))))</f>
        <v>499.32882135275577</v>
      </c>
      <c r="P94" s="168">
        <f ca="1">IF($C94-P$1&lt;År1,0,O93*(1-VLOOKUP($A94,[1]Hugst!$R$5:$W$9,MATCH(ROUNDUP((P$1)/10,0)*10,[1]Hugst!$R$4:$W$4,0))))</f>
        <v>500.13785581976629</v>
      </c>
      <c r="Q94" s="168">
        <f ca="1">IF($C94-Q$1&lt;År1,0,P93*(1-VLOOKUP($A94,[1]Hugst!$R$5:$W$9,MATCH(ROUNDUP((Q$1)/10,0)*10,[1]Hugst!$R$4:$W$4,0))))</f>
        <v>500.95078557225804</v>
      </c>
      <c r="R94" s="168">
        <f ca="1">IF($C94-R$1&lt;År1,0,Q93*(1-VLOOKUP($A94,[1]Hugst!$R$5:$W$9,MATCH(ROUNDUP((R$1)/10,0)*10,[1]Hugst!$R$4:$W$4,0))))</f>
        <v>501.88151739474512</v>
      </c>
      <c r="S94" s="168">
        <f ca="1">IF($C94-S$1&lt;År1,0,R93*(1-VLOOKUP($A94,[1]Hugst!$R$5:$W$9,MATCH(ROUNDUP((S$1)/10,0)*10,[1]Hugst!$R$4:$W$4,0))))</f>
        <v>502.81549936664732</v>
      </c>
      <c r="T94" s="168">
        <f ca="1">IF($C94-T$1&lt;År1,0,S93*(1-VLOOKUP($A94,[1]Hugst!$R$5:$W$9,MATCH(ROUNDUP((T$1)/10,0)*10,[1]Hugst!$R$4:$W$4,0))))</f>
        <v>503.7527428376597</v>
      </c>
      <c r="U94" s="168">
        <f ca="1">IF($C94-U$1&lt;År1,0,T93*(1-VLOOKUP($A94,[1]Hugst!$R$5:$W$9,MATCH(ROUNDUP((U$1)/10,0)*10,[1]Hugst!$R$4:$W$4,0))))</f>
        <v>504.69325919703482</v>
      </c>
      <c r="V94" s="168">
        <f ca="1">IF($C94-V$1&lt;År1,0,U93*(1-VLOOKUP($A94,[1]Hugst!$R$5:$W$9,MATCH(ROUNDUP((V$1)/10,0)*10,[1]Hugst!$R$4:$W$4,0))))</f>
        <v>505.6370598738107</v>
      </c>
      <c r="W94" s="168">
        <f ca="1">IF($C94-W$1&lt;År1,0,V93*(1-VLOOKUP($A94,[1]Hugst!$R$5:$W$9,MATCH(ROUNDUP((W$1)/10,0)*10,[1]Hugst!$R$4:$W$4,0))))</f>
        <v>506.58415633696461</v>
      </c>
      <c r="X94" s="168">
        <f ca="1">IF($C94-X$1&lt;År1,0,W93*(1-VLOOKUP($A94,[1]Hugst!$R$5:$W$9,MATCH(ROUNDUP((X$1)/10,0)*10,[1]Hugst!$R$4:$W$4,0))))</f>
        <v>507.53456009550484</v>
      </c>
      <c r="Y94" s="168">
        <f ca="1">IF($C94-Y$1&lt;År1,0,X93*(1-VLOOKUP($A94,[1]Hugst!$R$5:$W$9,MATCH(ROUNDUP((Y$1)/10,0)*10,[1]Hugst!$R$4:$W$4,0))))</f>
        <v>508.48828269857864</v>
      </c>
      <c r="Z94" s="168">
        <f ca="1">IF($C94-Z$1&lt;År1,0,Y93*(1-VLOOKUP($A94,[1]Hugst!$R$5:$W$9,MATCH(ROUNDUP((Z$1)/10,0)*10,[1]Hugst!$R$4:$W$4,0))))</f>
        <v>509.33723750636045</v>
      </c>
      <c r="AA94" s="168">
        <f ca="1">IF($C94-AA$1&lt;År1,0,Z93*(1-VLOOKUP($A94,[1]Hugst!$R$5:$W$9,MATCH(ROUNDUP((AA$1)/10,0)*10,[1]Hugst!$R$4:$W$4,0))))</f>
        <v>510.18914978978205</v>
      </c>
      <c r="AB94" s="168">
        <f ca="1">IF($C94-AB$1&lt;År1,0,AA93*(1-VLOOKUP($A94,[1]Hugst!$R$5:$W$9,MATCH(ROUNDUP((AB$1)/10,0)*10,[1]Hugst!$R$4:$W$4,0))))</f>
        <v>511.86211480700211</v>
      </c>
      <c r="AC94" s="168">
        <f ca="1">IF($C94-AC$1&lt;År1,0,AB93*(1-VLOOKUP($A94,[1]Hugst!$R$5:$W$9,MATCH(ROUNDUP((AC$1)/10,0)*10,[1]Hugst!$R$4:$W$4,0))))</f>
        <v>513.5405656561627</v>
      </c>
      <c r="AD94" s="168">
        <f ca="1">IF($C94-AD$1&lt;År1,0,AC93*(1-VLOOKUP($A94,[1]Hugst!$R$5:$W$9,MATCH(ROUNDUP((AD$1)/10,0)*10,[1]Hugst!$R$4:$W$4,0))))</f>
        <v>515.22452032592764</v>
      </c>
      <c r="AE94" s="168">
        <f ca="1">IF($C94-AE$1&lt;År1,0,AD93*(1-VLOOKUP($A94,[1]Hugst!$R$5:$W$9,MATCH(ROUNDUP((AE$1)/10,0)*10,[1]Hugst!$R$4:$W$4,0))))</f>
        <v>516.91399686391537</v>
      </c>
      <c r="AF94" s="168">
        <f ca="1">IF($C94-AF$1&lt;År1,0,AE93*(1-VLOOKUP($A94,[1]Hugst!$R$5:$W$9,MATCH(ROUNDUP((AF$1)/10,0)*10,[1]Hugst!$R$4:$W$4,0))))</f>
        <v>518.60901337692849</v>
      </c>
      <c r="AG94" s="168">
        <f ca="1">IF($C94-AG$1&lt;År1,0,AF93*(1-VLOOKUP($A94,[1]Hugst!$R$5:$W$9,MATCH(ROUNDUP((AG$1)/10,0)*10,[1]Hugst!$R$4:$W$4,0))))</f>
        <v>520.3095880311339</v>
      </c>
      <c r="AH94" s="168">
        <f ca="1">IF($C94-AH$1&lt;År1,0,AG93*(1-VLOOKUP($A94,[1]Hugst!$R$5:$W$9,MATCH(ROUNDUP((AH$1)/10,0)*10,[1]Hugst!$R$4:$W$4,0))))</f>
        <v>522.01573905227656</v>
      </c>
      <c r="AI94" s="168">
        <f ca="1">IF($C94-AI$1&lt;År1,0,AH93*(1-VLOOKUP($A94,[1]Hugst!$R$5:$W$9,MATCH(ROUNDUP((AI$1)/10,0)*10,[1]Hugst!$R$4:$W$4,0))))</f>
        <v>523.72748472584203</v>
      </c>
      <c r="AJ94" s="168">
        <f ca="1">IF($C94-AJ$1&lt;År1,0,AI93*(1-VLOOKUP($A94,[1]Hugst!$R$5:$W$9,MATCH(ROUNDUP((AJ$1)/10,0)*10,[1]Hugst!$R$4:$W$4,0))))</f>
        <v>525.89091058474264</v>
      </c>
      <c r="AK94" s="168"/>
      <c r="AL94" s="168">
        <f ca="1">SUM(F94:AJ94)</f>
        <v>15653.374484996826</v>
      </c>
      <c r="AM94" s="168"/>
    </row>
    <row r="95" spans="1:39" s="168" customFormat="1" x14ac:dyDescent="0.25">
      <c r="A95" s="168" t="s">
        <v>175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159.18184797116919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159.18184797116919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175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158.38593873131322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158.38593873131322</v>
      </c>
      <c r="G96" s="168">
        <f ca="1">IF($C96-G$1&lt;År1,0,F95*(1-VLOOKUP($A96,[1]Hugst!$R$5:$W$9,MATCH(ROUNDUP((G$1)/10,0)*10,[1]Hugst!$R$4:$W$4,0))))</f>
        <v>159.18184797116919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175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157.59400903765709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157.59400903765709</v>
      </c>
      <c r="G97" s="168">
        <f ca="1">IF($C97-G$1&lt;År1,0,F96*(1-VLOOKUP($A97,[1]Hugst!$R$5:$W$9,MATCH(ROUNDUP((G$1)/10,0)*10,[1]Hugst!$R$4:$W$4,0))))</f>
        <v>158.38593873131322</v>
      </c>
      <c r="H97" s="168">
        <f ca="1">IF($C97-H$1&lt;År1,0,G96*(1-VLOOKUP($A97,[1]Hugst!$R$5:$W$9,MATCH(ROUNDUP((H$1)/10,0)*10,[1]Hugst!$R$4:$W$4,0))))</f>
        <v>159.18184797116919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175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156.80603899246489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156.80603899246489</v>
      </c>
      <c r="G98" s="168">
        <f ca="1">IF($C98-G$1&lt;År1,0,F97*(1-VLOOKUP($A98,[1]Hugst!$R$5:$W$9,MATCH(ROUNDUP((G$1)/10,0)*10,[1]Hugst!$R$4:$W$4,0))))</f>
        <v>157.59400903765709</v>
      </c>
      <c r="H98" s="168">
        <f ca="1">IF($C98-H$1&lt;År1,0,G97*(1-VLOOKUP($A98,[1]Hugst!$R$5:$W$9,MATCH(ROUNDUP((H$1)/10,0)*10,[1]Hugst!$R$4:$W$4,0))))</f>
        <v>158.38593873131322</v>
      </c>
      <c r="I98" s="168">
        <f ca="1">IF($C98-I$1&lt;År1,0,H97*(1-VLOOKUP($A98,[1]Hugst!$R$5:$W$9,MATCH(ROUNDUP((I$1)/10,0)*10,[1]Hugst!$R$4:$W$4,0))))</f>
        <v>159.18184797116919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175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156.02200879750671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156.02200879750671</v>
      </c>
      <c r="G99" s="168">
        <f ca="1">IF($C99-G$1&lt;År1,0,F98*(1-VLOOKUP($A99,[1]Hugst!$R$5:$W$9,MATCH(ROUNDUP((G$1)/10,0)*10,[1]Hugst!$R$4:$W$4,0))))</f>
        <v>156.80603899246489</v>
      </c>
      <c r="H99" s="168">
        <f ca="1">IF($C99-H$1&lt;År1,0,G98*(1-VLOOKUP($A99,[1]Hugst!$R$5:$W$9,MATCH(ROUNDUP((H$1)/10,0)*10,[1]Hugst!$R$4:$W$4,0))))</f>
        <v>157.59400903765709</v>
      </c>
      <c r="I99" s="168">
        <f ca="1">IF($C99-I$1&lt;År1,0,H98*(1-VLOOKUP($A99,[1]Hugst!$R$5:$W$9,MATCH(ROUNDUP((I$1)/10,0)*10,[1]Hugst!$R$4:$W$4,0))))</f>
        <v>158.38593873131322</v>
      </c>
      <c r="J99" s="168">
        <f ca="1">IF($C99-J$1&lt;År1,0,I98*(1-VLOOKUP($A99,[1]Hugst!$R$5:$W$9,MATCH(ROUNDUP((J$1)/10,0)*10,[1]Hugst!$R$4:$W$4,0))))</f>
        <v>159.18184797116919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175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155.24189875351658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155.24189875351658</v>
      </c>
      <c r="G100" s="168">
        <f ca="1">IF($C100-G$1&lt;År1,0,F99*(1-VLOOKUP($A100,[1]Hugst!$R$5:$W$9,MATCH(ROUNDUP((G$1)/10,0)*10,[1]Hugst!$R$4:$W$4,0))))</f>
        <v>156.02200879750671</v>
      </c>
      <c r="H100" s="168">
        <f ca="1">IF($C100-H$1&lt;År1,0,G99*(1-VLOOKUP($A100,[1]Hugst!$R$5:$W$9,MATCH(ROUNDUP((H$1)/10,0)*10,[1]Hugst!$R$4:$W$4,0))))</f>
        <v>156.80603899246489</v>
      </c>
      <c r="I100" s="168">
        <f ca="1">IF($C100-I$1&lt;År1,0,H99*(1-VLOOKUP($A100,[1]Hugst!$R$5:$W$9,MATCH(ROUNDUP((I$1)/10,0)*10,[1]Hugst!$R$4:$W$4,0))))</f>
        <v>157.59400903765709</v>
      </c>
      <c r="J100" s="168">
        <f ca="1">IF($C100-J$1&lt;År1,0,I99*(1-VLOOKUP($A100,[1]Hugst!$R$5:$W$9,MATCH(ROUNDUP((J$1)/10,0)*10,[1]Hugst!$R$4:$W$4,0))))</f>
        <v>158.38593873131322</v>
      </c>
      <c r="K100" s="168">
        <f ca="1">IF($C100-K$1&lt;År1,0,J99*(1-VLOOKUP($A100,[1]Hugst!$R$5:$W$9,MATCH(ROUNDUP((K$1)/10,0)*10,[1]Hugst!$R$4:$W$4,0))))</f>
        <v>159.18184797116919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175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154.46568925975589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154.46568925975589</v>
      </c>
      <c r="G101" s="168">
        <f ca="1">IF($C101-G$1&lt;År1,0,F100*(1-VLOOKUP($A101,[1]Hugst!$R$5:$W$9,MATCH(ROUNDUP((G$1)/10,0)*10,[1]Hugst!$R$4:$W$4,0))))</f>
        <v>155.24189875351658</v>
      </c>
      <c r="H101" s="168">
        <f ca="1">IF($C101-H$1&lt;År1,0,G100*(1-VLOOKUP($A101,[1]Hugst!$R$5:$W$9,MATCH(ROUNDUP((H$1)/10,0)*10,[1]Hugst!$R$4:$W$4,0))))</f>
        <v>156.02200879750671</v>
      </c>
      <c r="I101" s="168">
        <f ca="1">IF($C101-I$1&lt;År1,0,H100*(1-VLOOKUP($A101,[1]Hugst!$R$5:$W$9,MATCH(ROUNDUP((I$1)/10,0)*10,[1]Hugst!$R$4:$W$4,0))))</f>
        <v>156.80603899246489</v>
      </c>
      <c r="J101" s="168">
        <f ca="1">IF($C101-J$1&lt;År1,0,I100*(1-VLOOKUP($A101,[1]Hugst!$R$5:$W$9,MATCH(ROUNDUP((J$1)/10,0)*10,[1]Hugst!$R$4:$W$4,0))))</f>
        <v>157.59400903765709</v>
      </c>
      <c r="K101" s="168">
        <f ca="1">IF($C101-K$1&lt;År1,0,J100*(1-VLOOKUP($A101,[1]Hugst!$R$5:$W$9,MATCH(ROUNDUP((K$1)/10,0)*10,[1]Hugst!$R$4:$W$4,0))))</f>
        <v>158.38593873131322</v>
      </c>
      <c r="L101" s="168">
        <f ca="1">IF($C101-L$1&lt;År1,0,K100*(1-VLOOKUP($A101,[1]Hugst!$R$5:$W$9,MATCH(ROUNDUP((L$1)/10,0)*10,[1]Hugst!$R$4:$W$4,0))))</f>
        <v>159.18184797116919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175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153.69336081344954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153.69336081344954</v>
      </c>
      <c r="G102" s="168">
        <f ca="1">IF($C102-G$1&lt;År1,0,F101*(1-VLOOKUP($A102,[1]Hugst!$R$5:$W$9,MATCH(ROUNDUP((G$1)/10,0)*10,[1]Hugst!$R$4:$W$4,0))))</f>
        <v>154.46568925975589</v>
      </c>
      <c r="H102" s="168">
        <f ca="1">IF($C102-H$1&lt;År1,0,G101*(1-VLOOKUP($A102,[1]Hugst!$R$5:$W$9,MATCH(ROUNDUP((H$1)/10,0)*10,[1]Hugst!$R$4:$W$4,0))))</f>
        <v>155.24189875351658</v>
      </c>
      <c r="I102" s="168">
        <f ca="1">IF($C102-I$1&lt;År1,0,H101*(1-VLOOKUP($A102,[1]Hugst!$R$5:$W$9,MATCH(ROUNDUP((I$1)/10,0)*10,[1]Hugst!$R$4:$W$4,0))))</f>
        <v>156.02200879750671</v>
      </c>
      <c r="J102" s="168">
        <f ca="1">IF($C102-J$1&lt;År1,0,I101*(1-VLOOKUP($A102,[1]Hugst!$R$5:$W$9,MATCH(ROUNDUP((J$1)/10,0)*10,[1]Hugst!$R$4:$W$4,0))))</f>
        <v>156.80603899246489</v>
      </c>
      <c r="K102" s="168">
        <f ca="1">IF($C102-K$1&lt;År1,0,J101*(1-VLOOKUP($A102,[1]Hugst!$R$5:$W$9,MATCH(ROUNDUP((K$1)/10,0)*10,[1]Hugst!$R$4:$W$4,0))))</f>
        <v>157.59400903765709</v>
      </c>
      <c r="L102" s="168">
        <f ca="1">IF($C102-L$1&lt;År1,0,K101*(1-VLOOKUP($A102,[1]Hugst!$R$5:$W$9,MATCH(ROUNDUP((L$1)/10,0)*10,[1]Hugst!$R$4:$W$4,0))))</f>
        <v>158.38593873131322</v>
      </c>
      <c r="M102" s="168">
        <f ca="1">IF($C102-M$1&lt;År1,0,L101*(1-VLOOKUP($A102,[1]Hugst!$R$5:$W$9,MATCH(ROUNDUP((M$1)/10,0)*10,[1]Hugst!$R$4:$W$4,0))))</f>
        <v>159.18184797116919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175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152.92489400938575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152.92489400938575</v>
      </c>
      <c r="G103" s="168">
        <f ca="1">IF($C103-G$1&lt;År1,0,F102*(1-VLOOKUP($A103,[1]Hugst!$R$5:$W$9,MATCH(ROUNDUP((G$1)/10,0)*10,[1]Hugst!$R$4:$W$4,0))))</f>
        <v>153.69336081344954</v>
      </c>
      <c r="H103" s="168">
        <f ca="1">IF($C103-H$1&lt;År1,0,G102*(1-VLOOKUP($A103,[1]Hugst!$R$5:$W$9,MATCH(ROUNDUP((H$1)/10,0)*10,[1]Hugst!$R$4:$W$4,0))))</f>
        <v>154.46568925975589</v>
      </c>
      <c r="I103" s="168">
        <f ca="1">IF($C103-I$1&lt;År1,0,H102*(1-VLOOKUP($A103,[1]Hugst!$R$5:$W$9,MATCH(ROUNDUP((I$1)/10,0)*10,[1]Hugst!$R$4:$W$4,0))))</f>
        <v>155.24189875351658</v>
      </c>
      <c r="J103" s="168">
        <f ca="1">IF($C103-J$1&lt;År1,0,I102*(1-VLOOKUP($A103,[1]Hugst!$R$5:$W$9,MATCH(ROUNDUP((J$1)/10,0)*10,[1]Hugst!$R$4:$W$4,0))))</f>
        <v>156.02200879750671</v>
      </c>
      <c r="K103" s="168">
        <f ca="1">IF($C103-K$1&lt;År1,0,J102*(1-VLOOKUP($A103,[1]Hugst!$R$5:$W$9,MATCH(ROUNDUP((K$1)/10,0)*10,[1]Hugst!$R$4:$W$4,0))))</f>
        <v>156.80603899246489</v>
      </c>
      <c r="L103" s="168">
        <f ca="1">IF($C103-L$1&lt;År1,0,K102*(1-VLOOKUP($A103,[1]Hugst!$R$5:$W$9,MATCH(ROUNDUP((L$1)/10,0)*10,[1]Hugst!$R$4:$W$4,0))))</f>
        <v>157.59400903765709</v>
      </c>
      <c r="M103" s="168">
        <f ca="1">IF($C103-M$1&lt;År1,0,L102*(1-VLOOKUP($A103,[1]Hugst!$R$5:$W$9,MATCH(ROUNDUP((M$1)/10,0)*10,[1]Hugst!$R$4:$W$4,0))))</f>
        <v>158.38593873131322</v>
      </c>
      <c r="N103" s="168">
        <f ca="1">IF($C103-N$1&lt;År1,0,M102*(1-VLOOKUP($A103,[1]Hugst!$R$5:$W$9,MATCH(ROUNDUP((N$1)/10,0)*10,[1]Hugst!$R$4:$W$4,0))))</f>
        <v>159.18184797116919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175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152.16026953933761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152.16026953933761</v>
      </c>
      <c r="G104" s="168">
        <f ca="1">IF($C104-G$1&lt;År1,0,F103*(1-VLOOKUP($A104,[1]Hugst!$R$5:$W$9,MATCH(ROUNDUP((G$1)/10,0)*10,[1]Hugst!$R$4:$W$4,0))))</f>
        <v>152.92489400938575</v>
      </c>
      <c r="H104" s="168">
        <f ca="1">IF($C104-H$1&lt;År1,0,G103*(1-VLOOKUP($A104,[1]Hugst!$R$5:$W$9,MATCH(ROUNDUP((H$1)/10,0)*10,[1]Hugst!$R$4:$W$4,0))))</f>
        <v>153.69336081344954</v>
      </c>
      <c r="I104" s="168">
        <f ca="1">IF($C104-I$1&lt;År1,0,H103*(1-VLOOKUP($A104,[1]Hugst!$R$5:$W$9,MATCH(ROUNDUP((I$1)/10,0)*10,[1]Hugst!$R$4:$W$4,0))))</f>
        <v>154.46568925975589</v>
      </c>
      <c r="J104" s="168">
        <f ca="1">IF($C104-J$1&lt;År1,0,I103*(1-VLOOKUP($A104,[1]Hugst!$R$5:$W$9,MATCH(ROUNDUP((J$1)/10,0)*10,[1]Hugst!$R$4:$W$4,0))))</f>
        <v>155.24189875351658</v>
      </c>
      <c r="K104" s="168">
        <f ca="1">IF($C104-K$1&lt;År1,0,J103*(1-VLOOKUP($A104,[1]Hugst!$R$5:$W$9,MATCH(ROUNDUP((K$1)/10,0)*10,[1]Hugst!$R$4:$W$4,0))))</f>
        <v>156.02200879750671</v>
      </c>
      <c r="L104" s="168">
        <f ca="1">IF($C104-L$1&lt;År1,0,K103*(1-VLOOKUP($A104,[1]Hugst!$R$5:$W$9,MATCH(ROUNDUP((L$1)/10,0)*10,[1]Hugst!$R$4:$W$4,0))))</f>
        <v>156.80603899246489</v>
      </c>
      <c r="M104" s="168">
        <f ca="1">IF($C104-M$1&lt;År1,0,L103*(1-VLOOKUP($A104,[1]Hugst!$R$5:$W$9,MATCH(ROUNDUP((M$1)/10,0)*10,[1]Hugst!$R$4:$W$4,0))))</f>
        <v>157.59400903765709</v>
      </c>
      <c r="N104" s="168">
        <f ca="1">IF($C104-N$1&lt;År1,0,M103*(1-VLOOKUP($A104,[1]Hugst!$R$5:$W$9,MATCH(ROUNDUP((N$1)/10,0)*10,[1]Hugst!$R$4:$W$4,0))))</f>
        <v>158.38593873131322</v>
      </c>
      <c r="O104" s="168">
        <f ca="1">IF($C104-O$1&lt;År1,0,N103*(1-VLOOKUP($A104,[1]Hugst!$R$5:$W$9,MATCH(ROUNDUP((O$1)/10,0)*10,[1]Hugst!$R$4:$W$4,0))))</f>
        <v>159.18184797116919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175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151.3994681916447</v>
      </c>
      <c r="E105" s="168">
        <f t="shared" ca="1" si="2"/>
        <v>0.24281976809152184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151.64228795973622</v>
      </c>
      <c r="G105" s="168">
        <f ca="1">IF($C105-G$1&lt;År1,0,F104*(1-VLOOKUP($A105,[1]Hugst!$R$5:$W$9,MATCH(ROUNDUP((G$1)/10,0)*10,[1]Hugst!$R$4:$W$4,0))))</f>
        <v>152.16026953933761</v>
      </c>
      <c r="H105" s="168">
        <f ca="1">IF($C105-H$1&lt;År1,0,G104*(1-VLOOKUP($A105,[1]Hugst!$R$5:$W$9,MATCH(ROUNDUP((H$1)/10,0)*10,[1]Hugst!$R$4:$W$4,0))))</f>
        <v>152.92489400938575</v>
      </c>
      <c r="I105" s="168">
        <f ca="1">IF($C105-I$1&lt;År1,0,H104*(1-VLOOKUP($A105,[1]Hugst!$R$5:$W$9,MATCH(ROUNDUP((I$1)/10,0)*10,[1]Hugst!$R$4:$W$4,0))))</f>
        <v>153.69336081344954</v>
      </c>
      <c r="J105" s="168">
        <f ca="1">IF($C105-J$1&lt;År1,0,I104*(1-VLOOKUP($A105,[1]Hugst!$R$5:$W$9,MATCH(ROUNDUP((J$1)/10,0)*10,[1]Hugst!$R$4:$W$4,0))))</f>
        <v>154.46568925975589</v>
      </c>
      <c r="K105" s="168">
        <f ca="1">IF($C105-K$1&lt;År1,0,J104*(1-VLOOKUP($A105,[1]Hugst!$R$5:$W$9,MATCH(ROUNDUP((K$1)/10,0)*10,[1]Hugst!$R$4:$W$4,0))))</f>
        <v>155.24189875351658</v>
      </c>
      <c r="L105" s="168">
        <f ca="1">IF($C105-L$1&lt;År1,0,K104*(1-VLOOKUP($A105,[1]Hugst!$R$5:$W$9,MATCH(ROUNDUP((L$1)/10,0)*10,[1]Hugst!$R$4:$W$4,0))))</f>
        <v>156.02200879750671</v>
      </c>
      <c r="M105" s="168">
        <f ca="1">IF($C105-M$1&lt;År1,0,L104*(1-VLOOKUP($A105,[1]Hugst!$R$5:$W$9,MATCH(ROUNDUP((M$1)/10,0)*10,[1]Hugst!$R$4:$W$4,0))))</f>
        <v>156.80603899246489</v>
      </c>
      <c r="N105" s="168">
        <f ca="1">IF($C105-N$1&lt;År1,0,M104*(1-VLOOKUP($A105,[1]Hugst!$R$5:$W$9,MATCH(ROUNDUP((N$1)/10,0)*10,[1]Hugst!$R$4:$W$4,0))))</f>
        <v>157.59400903765709</v>
      </c>
      <c r="O105" s="168">
        <f ca="1">IF($C105-O$1&lt;År1,0,N104*(1-VLOOKUP($A105,[1]Hugst!$R$5:$W$9,MATCH(ROUNDUP((O$1)/10,0)*10,[1]Hugst!$R$4:$W$4,0))))</f>
        <v>158.38593873131322</v>
      </c>
      <c r="P105" s="168">
        <f ca="1">IF($C105-P$1&lt;År1,0,O104*(1-VLOOKUP($A105,[1]Hugst!$R$5:$W$9,MATCH(ROUNDUP((P$1)/10,0)*10,[1]Hugst!$R$4:$W$4,0))))</f>
        <v>158.93902820307758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175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150.64247085067836</v>
      </c>
      <c r="E106" s="168">
        <f t="shared" ca="1" si="2"/>
        <v>0.4840550343067207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151.12652588498509</v>
      </c>
      <c r="G106" s="168">
        <f ca="1">IF($C106-G$1&lt;År1,0,F105*(1-VLOOKUP($A106,[1]Hugst!$R$5:$W$9,MATCH(ROUNDUP((G$1)/10,0)*10,[1]Hugst!$R$4:$W$4,0))))</f>
        <v>151.64228795973622</v>
      </c>
      <c r="H106" s="168">
        <f ca="1">IF($C106-H$1&lt;År1,0,G105*(1-VLOOKUP($A106,[1]Hugst!$R$5:$W$9,MATCH(ROUNDUP((H$1)/10,0)*10,[1]Hugst!$R$4:$W$4,0))))</f>
        <v>152.16026953933761</v>
      </c>
      <c r="I106" s="168">
        <f ca="1">IF($C106-I$1&lt;År1,0,H105*(1-VLOOKUP($A106,[1]Hugst!$R$5:$W$9,MATCH(ROUNDUP((I$1)/10,0)*10,[1]Hugst!$R$4:$W$4,0))))</f>
        <v>152.92489400938575</v>
      </c>
      <c r="J106" s="168">
        <f ca="1">IF($C106-J$1&lt;År1,0,I105*(1-VLOOKUP($A106,[1]Hugst!$R$5:$W$9,MATCH(ROUNDUP((J$1)/10,0)*10,[1]Hugst!$R$4:$W$4,0))))</f>
        <v>153.69336081344954</v>
      </c>
      <c r="K106" s="168">
        <f ca="1">IF($C106-K$1&lt;År1,0,J105*(1-VLOOKUP($A106,[1]Hugst!$R$5:$W$9,MATCH(ROUNDUP((K$1)/10,0)*10,[1]Hugst!$R$4:$W$4,0))))</f>
        <v>154.46568925975589</v>
      </c>
      <c r="L106" s="168">
        <f ca="1">IF($C106-L$1&lt;År1,0,K105*(1-VLOOKUP($A106,[1]Hugst!$R$5:$W$9,MATCH(ROUNDUP((L$1)/10,0)*10,[1]Hugst!$R$4:$W$4,0))))</f>
        <v>155.24189875351658</v>
      </c>
      <c r="M106" s="168">
        <f ca="1">IF($C106-M$1&lt;År1,0,L105*(1-VLOOKUP($A106,[1]Hugst!$R$5:$W$9,MATCH(ROUNDUP((M$1)/10,0)*10,[1]Hugst!$R$4:$W$4,0))))</f>
        <v>156.02200879750671</v>
      </c>
      <c r="N106" s="168">
        <f ca="1">IF($C106-N$1&lt;År1,0,M105*(1-VLOOKUP($A106,[1]Hugst!$R$5:$W$9,MATCH(ROUNDUP((N$1)/10,0)*10,[1]Hugst!$R$4:$W$4,0))))</f>
        <v>156.80603899246489</v>
      </c>
      <c r="O106" s="168">
        <f ca="1">IF($C106-O$1&lt;År1,0,N105*(1-VLOOKUP($A106,[1]Hugst!$R$5:$W$9,MATCH(ROUNDUP((O$1)/10,0)*10,[1]Hugst!$R$4:$W$4,0))))</f>
        <v>157.59400903765709</v>
      </c>
      <c r="P106" s="168">
        <f ca="1">IF($C106-P$1&lt;År1,0,O105*(1-VLOOKUP($A106,[1]Hugst!$R$5:$W$9,MATCH(ROUNDUP((P$1)/10,0)*10,[1]Hugst!$R$4:$W$4,0))))</f>
        <v>158.14433306206206</v>
      </c>
      <c r="Q106" s="168">
        <f ca="1">IF($C106-Q$1&lt;År1,0,P105*(1-VLOOKUP($A106,[1]Hugst!$R$5:$W$9,MATCH(ROUNDUP((Q$1)/10,0)*10,[1]Hugst!$R$4:$W$4,0))))</f>
        <v>158.69657883802205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175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149.88925849643056</v>
      </c>
      <c r="E107" s="168">
        <f t="shared" ca="1" si="2"/>
        <v>0.72371428617611855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150.61297278260668</v>
      </c>
      <c r="G107" s="168">
        <f ca="1">IF($C107-G$1&lt;År1,0,F106*(1-VLOOKUP($A107,[1]Hugst!$R$5:$W$9,MATCH(ROUNDUP((G$1)/10,0)*10,[1]Hugst!$R$4:$W$4,0))))</f>
        <v>151.12652588498509</v>
      </c>
      <c r="H107" s="168">
        <f ca="1">IF($C107-H$1&lt;År1,0,G106*(1-VLOOKUP($A107,[1]Hugst!$R$5:$W$9,MATCH(ROUNDUP((H$1)/10,0)*10,[1]Hugst!$R$4:$W$4,0))))</f>
        <v>151.64228795973622</v>
      </c>
      <c r="I107" s="168">
        <f ca="1">IF($C107-I$1&lt;År1,0,H106*(1-VLOOKUP($A107,[1]Hugst!$R$5:$W$9,MATCH(ROUNDUP((I$1)/10,0)*10,[1]Hugst!$R$4:$W$4,0))))</f>
        <v>152.16026953933761</v>
      </c>
      <c r="J107" s="168">
        <f ca="1">IF($C107-J$1&lt;År1,0,I106*(1-VLOOKUP($A107,[1]Hugst!$R$5:$W$9,MATCH(ROUNDUP((J$1)/10,0)*10,[1]Hugst!$R$4:$W$4,0))))</f>
        <v>152.92489400938575</v>
      </c>
      <c r="K107" s="168">
        <f ca="1">IF($C107-K$1&lt;År1,0,J106*(1-VLOOKUP($A107,[1]Hugst!$R$5:$W$9,MATCH(ROUNDUP((K$1)/10,0)*10,[1]Hugst!$R$4:$W$4,0))))</f>
        <v>153.69336081344954</v>
      </c>
      <c r="L107" s="168">
        <f ca="1">IF($C107-L$1&lt;År1,0,K106*(1-VLOOKUP($A107,[1]Hugst!$R$5:$W$9,MATCH(ROUNDUP((L$1)/10,0)*10,[1]Hugst!$R$4:$W$4,0))))</f>
        <v>154.46568925975589</v>
      </c>
      <c r="M107" s="168">
        <f ca="1">IF($C107-M$1&lt;År1,0,L106*(1-VLOOKUP($A107,[1]Hugst!$R$5:$W$9,MATCH(ROUNDUP((M$1)/10,0)*10,[1]Hugst!$R$4:$W$4,0))))</f>
        <v>155.24189875351658</v>
      </c>
      <c r="N107" s="168">
        <f ca="1">IF($C107-N$1&lt;År1,0,M106*(1-VLOOKUP($A107,[1]Hugst!$R$5:$W$9,MATCH(ROUNDUP((N$1)/10,0)*10,[1]Hugst!$R$4:$W$4,0))))</f>
        <v>156.02200879750671</v>
      </c>
      <c r="O107" s="168">
        <f ca="1">IF($C107-O$1&lt;År1,0,N106*(1-VLOOKUP($A107,[1]Hugst!$R$5:$W$9,MATCH(ROUNDUP((O$1)/10,0)*10,[1]Hugst!$R$4:$W$4,0))))</f>
        <v>156.80603899246489</v>
      </c>
      <c r="P107" s="168">
        <f ca="1">IF($C107-P$1&lt;År1,0,O106*(1-VLOOKUP($A107,[1]Hugst!$R$5:$W$9,MATCH(ROUNDUP((P$1)/10,0)*10,[1]Hugst!$R$4:$W$4,0))))</f>
        <v>157.35361139675217</v>
      </c>
      <c r="Q107" s="168">
        <f ca="1">IF($C107-Q$1&lt;År1,0,P106*(1-VLOOKUP($A107,[1]Hugst!$R$5:$W$9,MATCH(ROUNDUP((Q$1)/10,0)*10,[1]Hugst!$R$4:$W$4,0))))</f>
        <v>157.9030959438318</v>
      </c>
      <c r="R107" s="168">
        <f ca="1">IF($C107-R$1&lt;År1,0,Q106*(1-VLOOKUP($A107,[1]Hugst!$R$5:$W$9,MATCH(ROUNDUP((R$1)/10,0)*10,[1]Hugst!$R$4:$W$4,0))))</f>
        <v>158.45449931098099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175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149.13981220394635</v>
      </c>
      <c r="E108" s="168">
        <f t="shared" ca="1" si="2"/>
        <v>0.96180596793146833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150.10161817187782</v>
      </c>
      <c r="G108" s="168">
        <f ca="1">IF($C108-G$1&lt;År1,0,F107*(1-VLOOKUP($A108,[1]Hugst!$R$5:$W$9,MATCH(ROUNDUP((G$1)/10,0)*10,[1]Hugst!$R$4:$W$4,0))))</f>
        <v>150.61297278260668</v>
      </c>
      <c r="H108" s="168">
        <f ca="1">IF($C108-H$1&lt;År1,0,G107*(1-VLOOKUP($A108,[1]Hugst!$R$5:$W$9,MATCH(ROUNDUP((H$1)/10,0)*10,[1]Hugst!$R$4:$W$4,0))))</f>
        <v>151.12652588498509</v>
      </c>
      <c r="I108" s="168">
        <f ca="1">IF($C108-I$1&lt;År1,0,H107*(1-VLOOKUP($A108,[1]Hugst!$R$5:$W$9,MATCH(ROUNDUP((I$1)/10,0)*10,[1]Hugst!$R$4:$W$4,0))))</f>
        <v>151.64228795973622</v>
      </c>
      <c r="J108" s="168">
        <f ca="1">IF($C108-J$1&lt;År1,0,I107*(1-VLOOKUP($A108,[1]Hugst!$R$5:$W$9,MATCH(ROUNDUP((J$1)/10,0)*10,[1]Hugst!$R$4:$W$4,0))))</f>
        <v>152.16026953933761</v>
      </c>
      <c r="K108" s="168">
        <f ca="1">IF($C108-K$1&lt;År1,0,J107*(1-VLOOKUP($A108,[1]Hugst!$R$5:$W$9,MATCH(ROUNDUP((K$1)/10,0)*10,[1]Hugst!$R$4:$W$4,0))))</f>
        <v>152.92489400938575</v>
      </c>
      <c r="L108" s="168">
        <f ca="1">IF($C108-L$1&lt;År1,0,K107*(1-VLOOKUP($A108,[1]Hugst!$R$5:$W$9,MATCH(ROUNDUP((L$1)/10,0)*10,[1]Hugst!$R$4:$W$4,0))))</f>
        <v>153.69336081344954</v>
      </c>
      <c r="M108" s="168">
        <f ca="1">IF($C108-M$1&lt;År1,0,L107*(1-VLOOKUP($A108,[1]Hugst!$R$5:$W$9,MATCH(ROUNDUP((M$1)/10,0)*10,[1]Hugst!$R$4:$W$4,0))))</f>
        <v>154.46568925975589</v>
      </c>
      <c r="N108" s="168">
        <f ca="1">IF($C108-N$1&lt;År1,0,M107*(1-VLOOKUP($A108,[1]Hugst!$R$5:$W$9,MATCH(ROUNDUP((N$1)/10,0)*10,[1]Hugst!$R$4:$W$4,0))))</f>
        <v>155.24189875351658</v>
      </c>
      <c r="O108" s="168">
        <f ca="1">IF($C108-O$1&lt;År1,0,N107*(1-VLOOKUP($A108,[1]Hugst!$R$5:$W$9,MATCH(ROUNDUP((O$1)/10,0)*10,[1]Hugst!$R$4:$W$4,0))))</f>
        <v>156.02200879750671</v>
      </c>
      <c r="P108" s="168">
        <f ca="1">IF($C108-P$1&lt;År1,0,O107*(1-VLOOKUP($A108,[1]Hugst!$R$5:$W$9,MATCH(ROUNDUP((P$1)/10,0)*10,[1]Hugst!$R$4:$W$4,0))))</f>
        <v>156.56684333976452</v>
      </c>
      <c r="Q108" s="168">
        <f ca="1">IF($C108-Q$1&lt;År1,0,P107*(1-VLOOKUP($A108,[1]Hugst!$R$5:$W$9,MATCH(ROUNDUP((Q$1)/10,0)*10,[1]Hugst!$R$4:$W$4,0))))</f>
        <v>157.11358046411306</v>
      </c>
      <c r="R108" s="168">
        <f ca="1">IF($C108-R$1&lt;År1,0,Q107*(1-VLOOKUP($A108,[1]Hugst!$R$5:$W$9,MATCH(ROUNDUP((R$1)/10,0)*10,[1]Hugst!$R$4:$W$4,0))))</f>
        <v>157.66222681442596</v>
      </c>
      <c r="S108" s="168">
        <f ca="1">IF($C108-S$1&lt;År1,0,R107*(1-VLOOKUP($A108,[1]Hugst!$R$5:$W$9,MATCH(ROUNDUP((S$1)/10,0)*10,[1]Hugst!$R$4:$W$4,0))))</f>
        <v>158.21278905779474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175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148.39411314292738</v>
      </c>
      <c r="E109" s="168">
        <f t="shared" ca="1" si="2"/>
        <v>1.1983384807226685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149.59245162365005</v>
      </c>
      <c r="G109" s="168">
        <f ca="1">IF($C109-G$1&lt;År1,0,F108*(1-VLOOKUP($A109,[1]Hugst!$R$5:$W$9,MATCH(ROUNDUP((G$1)/10,0)*10,[1]Hugst!$R$4:$W$4,0))))</f>
        <v>150.10161817187782</v>
      </c>
      <c r="H109" s="168">
        <f ca="1">IF($C109-H$1&lt;År1,0,G108*(1-VLOOKUP($A109,[1]Hugst!$R$5:$W$9,MATCH(ROUNDUP((H$1)/10,0)*10,[1]Hugst!$R$4:$W$4,0))))</f>
        <v>150.61297278260668</v>
      </c>
      <c r="I109" s="168">
        <f ca="1">IF($C109-I$1&lt;År1,0,H108*(1-VLOOKUP($A109,[1]Hugst!$R$5:$W$9,MATCH(ROUNDUP((I$1)/10,0)*10,[1]Hugst!$R$4:$W$4,0))))</f>
        <v>151.12652588498509</v>
      </c>
      <c r="J109" s="168">
        <f ca="1">IF($C109-J$1&lt;År1,0,I108*(1-VLOOKUP($A109,[1]Hugst!$R$5:$W$9,MATCH(ROUNDUP((J$1)/10,0)*10,[1]Hugst!$R$4:$W$4,0))))</f>
        <v>151.64228795973622</v>
      </c>
      <c r="K109" s="168">
        <f ca="1">IF($C109-K$1&lt;År1,0,J108*(1-VLOOKUP($A109,[1]Hugst!$R$5:$W$9,MATCH(ROUNDUP((K$1)/10,0)*10,[1]Hugst!$R$4:$W$4,0))))</f>
        <v>152.16026953933761</v>
      </c>
      <c r="L109" s="168">
        <f ca="1">IF($C109-L$1&lt;År1,0,K108*(1-VLOOKUP($A109,[1]Hugst!$R$5:$W$9,MATCH(ROUNDUP((L$1)/10,0)*10,[1]Hugst!$R$4:$W$4,0))))</f>
        <v>152.92489400938575</v>
      </c>
      <c r="M109" s="168">
        <f ca="1">IF($C109-M$1&lt;År1,0,L108*(1-VLOOKUP($A109,[1]Hugst!$R$5:$W$9,MATCH(ROUNDUP((M$1)/10,0)*10,[1]Hugst!$R$4:$W$4,0))))</f>
        <v>153.69336081344954</v>
      </c>
      <c r="N109" s="168">
        <f ca="1">IF($C109-N$1&lt;År1,0,M108*(1-VLOOKUP($A109,[1]Hugst!$R$5:$W$9,MATCH(ROUNDUP((N$1)/10,0)*10,[1]Hugst!$R$4:$W$4,0))))</f>
        <v>154.46568925975589</v>
      </c>
      <c r="O109" s="168">
        <f ca="1">IF($C109-O$1&lt;År1,0,N108*(1-VLOOKUP($A109,[1]Hugst!$R$5:$W$9,MATCH(ROUNDUP((O$1)/10,0)*10,[1]Hugst!$R$4:$W$4,0))))</f>
        <v>155.24189875351658</v>
      </c>
      <c r="P109" s="168">
        <f ca="1">IF($C109-P$1&lt;År1,0,O108*(1-VLOOKUP($A109,[1]Hugst!$R$5:$W$9,MATCH(ROUNDUP((P$1)/10,0)*10,[1]Hugst!$R$4:$W$4,0))))</f>
        <v>155.78400912306984</v>
      </c>
      <c r="Q109" s="168">
        <f ca="1">IF($C109-Q$1&lt;År1,0,P108*(1-VLOOKUP($A109,[1]Hugst!$R$5:$W$9,MATCH(ROUNDUP((Q$1)/10,0)*10,[1]Hugst!$R$4:$W$4,0))))</f>
        <v>156.3280125617886</v>
      </c>
      <c r="R109" s="168">
        <f ca="1">IF($C109-R$1&lt;År1,0,Q108*(1-VLOOKUP($A109,[1]Hugst!$R$5:$W$9,MATCH(ROUNDUP((R$1)/10,0)*10,[1]Hugst!$R$4:$W$4,0))))</f>
        <v>156.87391568035423</v>
      </c>
      <c r="S109" s="168">
        <f ca="1">IF($C109-S$1&lt;År1,0,R108*(1-VLOOKUP($A109,[1]Hugst!$R$5:$W$9,MATCH(ROUNDUP((S$1)/10,0)*10,[1]Hugst!$R$4:$W$4,0))))</f>
        <v>157.42172511250564</v>
      </c>
      <c r="T109" s="168">
        <f ca="1">IF($C109-T$1&lt;År1,0,S108*(1-VLOOKUP($A109,[1]Hugst!$R$5:$W$9,MATCH(ROUNDUP((T$1)/10,0)*10,[1]Hugst!$R$4:$W$4,0))))</f>
        <v>157.97144751516419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175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147.65214257721527</v>
      </c>
      <c r="E110" s="168">
        <f t="shared" ca="1" si="2"/>
        <v>1.4333201828335405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149.08546276004881</v>
      </c>
      <c r="G110" s="168">
        <f ca="1">IF($C110-G$1&lt;År1,0,F109*(1-VLOOKUP($A110,[1]Hugst!$R$5:$W$9,MATCH(ROUNDUP((G$1)/10,0)*10,[1]Hugst!$R$4:$W$4,0))))</f>
        <v>149.59245162365005</v>
      </c>
      <c r="H110" s="168">
        <f ca="1">IF($C110-H$1&lt;År1,0,G109*(1-VLOOKUP($A110,[1]Hugst!$R$5:$W$9,MATCH(ROUNDUP((H$1)/10,0)*10,[1]Hugst!$R$4:$W$4,0))))</f>
        <v>150.10161817187782</v>
      </c>
      <c r="I110" s="168">
        <f ca="1">IF($C110-I$1&lt;År1,0,H109*(1-VLOOKUP($A110,[1]Hugst!$R$5:$W$9,MATCH(ROUNDUP((I$1)/10,0)*10,[1]Hugst!$R$4:$W$4,0))))</f>
        <v>150.61297278260668</v>
      </c>
      <c r="J110" s="168">
        <f ca="1">IF($C110-J$1&lt;År1,0,I109*(1-VLOOKUP($A110,[1]Hugst!$R$5:$W$9,MATCH(ROUNDUP((J$1)/10,0)*10,[1]Hugst!$R$4:$W$4,0))))</f>
        <v>151.12652588498509</v>
      </c>
      <c r="K110" s="168">
        <f ca="1">IF($C110-K$1&lt;År1,0,J109*(1-VLOOKUP($A110,[1]Hugst!$R$5:$W$9,MATCH(ROUNDUP((K$1)/10,0)*10,[1]Hugst!$R$4:$W$4,0))))</f>
        <v>151.64228795973622</v>
      </c>
      <c r="L110" s="168">
        <f ca="1">IF($C110-L$1&lt;År1,0,K109*(1-VLOOKUP($A110,[1]Hugst!$R$5:$W$9,MATCH(ROUNDUP((L$1)/10,0)*10,[1]Hugst!$R$4:$W$4,0))))</f>
        <v>152.16026953933761</v>
      </c>
      <c r="M110" s="168">
        <f ca="1">IF($C110-M$1&lt;År1,0,L109*(1-VLOOKUP($A110,[1]Hugst!$R$5:$W$9,MATCH(ROUNDUP((M$1)/10,0)*10,[1]Hugst!$R$4:$W$4,0))))</f>
        <v>152.92489400938575</v>
      </c>
      <c r="N110" s="168">
        <f ca="1">IF($C110-N$1&lt;År1,0,M109*(1-VLOOKUP($A110,[1]Hugst!$R$5:$W$9,MATCH(ROUNDUP((N$1)/10,0)*10,[1]Hugst!$R$4:$W$4,0))))</f>
        <v>153.69336081344954</v>
      </c>
      <c r="O110" s="168">
        <f ca="1">IF($C110-O$1&lt;År1,0,N109*(1-VLOOKUP($A110,[1]Hugst!$R$5:$W$9,MATCH(ROUNDUP((O$1)/10,0)*10,[1]Hugst!$R$4:$W$4,0))))</f>
        <v>154.46568925975589</v>
      </c>
      <c r="P110" s="168">
        <f ca="1">IF($C110-P$1&lt;År1,0,O109*(1-VLOOKUP($A110,[1]Hugst!$R$5:$W$9,MATCH(ROUNDUP((P$1)/10,0)*10,[1]Hugst!$R$4:$W$4,0))))</f>
        <v>155.00508907745188</v>
      </c>
      <c r="Q110" s="168">
        <f ca="1">IF($C110-Q$1&lt;År1,0,P109*(1-VLOOKUP($A110,[1]Hugst!$R$5:$W$9,MATCH(ROUNDUP((Q$1)/10,0)*10,[1]Hugst!$R$4:$W$4,0))))</f>
        <v>155.5463724989838</v>
      </c>
      <c r="R110" s="168">
        <f ca="1">IF($C110-R$1&lt;År1,0,Q109*(1-VLOOKUP($A110,[1]Hugst!$R$5:$W$9,MATCH(ROUNDUP((R$1)/10,0)*10,[1]Hugst!$R$4:$W$4,0))))</f>
        <v>156.08954610194857</v>
      </c>
      <c r="S110" s="168">
        <f ca="1">IF($C110-S$1&lt;År1,0,R109*(1-VLOOKUP($A110,[1]Hugst!$R$5:$W$9,MATCH(ROUNDUP((S$1)/10,0)*10,[1]Hugst!$R$4:$W$4,0))))</f>
        <v>156.63461648694351</v>
      </c>
      <c r="T110" s="168">
        <f ca="1">IF($C110-T$1&lt;År1,0,S109*(1-VLOOKUP($A110,[1]Hugst!$R$5:$W$9,MATCH(ROUNDUP((T$1)/10,0)*10,[1]Hugst!$R$4:$W$4,0))))</f>
        <v>157.18159027758824</v>
      </c>
      <c r="U110" s="168">
        <f ca="1">IF($C110-U$1&lt;År1,0,T109*(1-VLOOKUP($A110,[1]Hugst!$R$5:$W$9,MATCH(ROUNDUP((U$1)/10,0)*10,[1]Hugst!$R$4:$W$4,0))))</f>
        <v>157.73047412064952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175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146.91388186432596</v>
      </c>
      <c r="E111" s="168">
        <f t="shared" ca="1" si="2"/>
        <v>1.6667593899001076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148.58064125422607</v>
      </c>
      <c r="G111" s="168">
        <f ca="1">IF($C111-G$1&lt;År1,0,F110*(1-VLOOKUP($A111,[1]Hugst!$R$5:$W$9,MATCH(ROUNDUP((G$1)/10,0)*10,[1]Hugst!$R$4:$W$4,0))))</f>
        <v>149.08546276004881</v>
      </c>
      <c r="H111" s="168">
        <f ca="1">IF($C111-H$1&lt;År1,0,G110*(1-VLOOKUP($A111,[1]Hugst!$R$5:$W$9,MATCH(ROUNDUP((H$1)/10,0)*10,[1]Hugst!$R$4:$W$4,0))))</f>
        <v>149.59245162365005</v>
      </c>
      <c r="I111" s="168">
        <f ca="1">IF($C111-I$1&lt;År1,0,H110*(1-VLOOKUP($A111,[1]Hugst!$R$5:$W$9,MATCH(ROUNDUP((I$1)/10,0)*10,[1]Hugst!$R$4:$W$4,0))))</f>
        <v>150.10161817187782</v>
      </c>
      <c r="J111" s="168">
        <f ca="1">IF($C111-J$1&lt;År1,0,I110*(1-VLOOKUP($A111,[1]Hugst!$R$5:$W$9,MATCH(ROUNDUP((J$1)/10,0)*10,[1]Hugst!$R$4:$W$4,0))))</f>
        <v>150.61297278260668</v>
      </c>
      <c r="K111" s="168">
        <f ca="1">IF($C111-K$1&lt;År1,0,J110*(1-VLOOKUP($A111,[1]Hugst!$R$5:$W$9,MATCH(ROUNDUP((K$1)/10,0)*10,[1]Hugst!$R$4:$W$4,0))))</f>
        <v>151.12652588498509</v>
      </c>
      <c r="L111" s="168">
        <f ca="1">IF($C111-L$1&lt;År1,0,K110*(1-VLOOKUP($A111,[1]Hugst!$R$5:$W$9,MATCH(ROUNDUP((L$1)/10,0)*10,[1]Hugst!$R$4:$W$4,0))))</f>
        <v>151.64228795973622</v>
      </c>
      <c r="M111" s="168">
        <f ca="1">IF($C111-M$1&lt;År1,0,L110*(1-VLOOKUP($A111,[1]Hugst!$R$5:$W$9,MATCH(ROUNDUP((M$1)/10,0)*10,[1]Hugst!$R$4:$W$4,0))))</f>
        <v>152.16026953933761</v>
      </c>
      <c r="N111" s="168">
        <f ca="1">IF($C111-N$1&lt;År1,0,M110*(1-VLOOKUP($A111,[1]Hugst!$R$5:$W$9,MATCH(ROUNDUP((N$1)/10,0)*10,[1]Hugst!$R$4:$W$4,0))))</f>
        <v>152.92489400938575</v>
      </c>
      <c r="O111" s="168">
        <f ca="1">IF($C111-O$1&lt;År1,0,N110*(1-VLOOKUP($A111,[1]Hugst!$R$5:$W$9,MATCH(ROUNDUP((O$1)/10,0)*10,[1]Hugst!$R$4:$W$4,0))))</f>
        <v>153.69336081344954</v>
      </c>
      <c r="P111" s="168">
        <f ca="1">IF($C111-P$1&lt;År1,0,O110*(1-VLOOKUP($A111,[1]Hugst!$R$5:$W$9,MATCH(ROUNDUP((P$1)/10,0)*10,[1]Hugst!$R$4:$W$4,0))))</f>
        <v>154.23006363207151</v>
      </c>
      <c r="Q111" s="168">
        <f ca="1">IF($C111-Q$1&lt;År1,0,P110*(1-VLOOKUP($A111,[1]Hugst!$R$5:$W$9,MATCH(ROUNDUP((Q$1)/10,0)*10,[1]Hugst!$R$4:$W$4,0))))</f>
        <v>154.76864063648628</v>
      </c>
      <c r="R111" s="168">
        <f ca="1">IF($C111-R$1&lt;År1,0,Q110*(1-VLOOKUP($A111,[1]Hugst!$R$5:$W$9,MATCH(ROUNDUP((R$1)/10,0)*10,[1]Hugst!$R$4:$W$4,0))))</f>
        <v>155.30909837144299</v>
      </c>
      <c r="S111" s="168">
        <f ca="1">IF($C111-S$1&lt;År1,0,R110*(1-VLOOKUP($A111,[1]Hugst!$R$5:$W$9,MATCH(ROUNDUP((S$1)/10,0)*10,[1]Hugst!$R$4:$W$4,0))))</f>
        <v>155.85144340450492</v>
      </c>
      <c r="T111" s="168">
        <f ca="1">IF($C111-T$1&lt;År1,0,S110*(1-VLOOKUP($A111,[1]Hugst!$R$5:$W$9,MATCH(ROUNDUP((T$1)/10,0)*10,[1]Hugst!$R$4:$W$4,0))))</f>
        <v>156.39568232620073</v>
      </c>
      <c r="U111" s="168">
        <f ca="1">IF($C111-U$1&lt;År1,0,T110*(1-VLOOKUP($A111,[1]Hugst!$R$5:$W$9,MATCH(ROUNDUP((U$1)/10,0)*10,[1]Hugst!$R$4:$W$4,0))))</f>
        <v>156.94182175004616</v>
      </c>
      <c r="V111" s="168">
        <f ca="1">IF($C111-V$1&lt;År1,0,U110*(1-VLOOKUP($A111,[1]Hugst!$R$5:$W$9,MATCH(ROUNDUP((V$1)/10,0)*10,[1]Hugst!$R$4:$W$4,0))))</f>
        <v>157.48986831266888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175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146.17931245500586</v>
      </c>
      <c r="E112" s="168">
        <f t="shared" ca="1" si="2"/>
        <v>1.89866437512228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148.07797683012814</v>
      </c>
      <c r="G112" s="168">
        <f ca="1">IF($C112-G$1&lt;År1,0,F111*(1-VLOOKUP($A112,[1]Hugst!$R$5:$W$9,MATCH(ROUNDUP((G$1)/10,0)*10,[1]Hugst!$R$4:$W$4,0))))</f>
        <v>148.58064125422607</v>
      </c>
      <c r="H112" s="168">
        <f ca="1">IF($C112-H$1&lt;År1,0,G111*(1-VLOOKUP($A112,[1]Hugst!$R$5:$W$9,MATCH(ROUNDUP((H$1)/10,0)*10,[1]Hugst!$R$4:$W$4,0))))</f>
        <v>149.08546276004881</v>
      </c>
      <c r="I112" s="168">
        <f ca="1">IF($C112-I$1&lt;År1,0,H111*(1-VLOOKUP($A112,[1]Hugst!$R$5:$W$9,MATCH(ROUNDUP((I$1)/10,0)*10,[1]Hugst!$R$4:$W$4,0))))</f>
        <v>149.59245162365005</v>
      </c>
      <c r="J112" s="168">
        <f ca="1">IF($C112-J$1&lt;År1,0,I111*(1-VLOOKUP($A112,[1]Hugst!$R$5:$W$9,MATCH(ROUNDUP((J$1)/10,0)*10,[1]Hugst!$R$4:$W$4,0))))</f>
        <v>150.10161817187782</v>
      </c>
      <c r="K112" s="168">
        <f ca="1">IF($C112-K$1&lt;År1,0,J111*(1-VLOOKUP($A112,[1]Hugst!$R$5:$W$9,MATCH(ROUNDUP((K$1)/10,0)*10,[1]Hugst!$R$4:$W$4,0))))</f>
        <v>150.61297278260668</v>
      </c>
      <c r="L112" s="168">
        <f ca="1">IF($C112-L$1&lt;År1,0,K111*(1-VLOOKUP($A112,[1]Hugst!$R$5:$W$9,MATCH(ROUNDUP((L$1)/10,0)*10,[1]Hugst!$R$4:$W$4,0))))</f>
        <v>151.12652588498509</v>
      </c>
      <c r="M112" s="168">
        <f ca="1">IF($C112-M$1&lt;År1,0,L111*(1-VLOOKUP($A112,[1]Hugst!$R$5:$W$9,MATCH(ROUNDUP((M$1)/10,0)*10,[1]Hugst!$R$4:$W$4,0))))</f>
        <v>151.64228795973622</v>
      </c>
      <c r="N112" s="168">
        <f ca="1">IF($C112-N$1&lt;År1,0,M111*(1-VLOOKUP($A112,[1]Hugst!$R$5:$W$9,MATCH(ROUNDUP((N$1)/10,0)*10,[1]Hugst!$R$4:$W$4,0))))</f>
        <v>152.16026953933761</v>
      </c>
      <c r="O112" s="168">
        <f ca="1">IF($C112-O$1&lt;År1,0,N111*(1-VLOOKUP($A112,[1]Hugst!$R$5:$W$9,MATCH(ROUNDUP((O$1)/10,0)*10,[1]Hugst!$R$4:$W$4,0))))</f>
        <v>152.92489400938575</v>
      </c>
      <c r="P112" s="168">
        <f ca="1">IF($C112-P$1&lt;År1,0,O111*(1-VLOOKUP($A112,[1]Hugst!$R$5:$W$9,MATCH(ROUNDUP((P$1)/10,0)*10,[1]Hugst!$R$4:$W$4,0))))</f>
        <v>153.45891331390359</v>
      </c>
      <c r="Q112" s="168">
        <f ca="1">IF($C112-Q$1&lt;År1,0,P111*(1-VLOOKUP($A112,[1]Hugst!$R$5:$W$9,MATCH(ROUNDUP((Q$1)/10,0)*10,[1]Hugst!$R$4:$W$4,0))))</f>
        <v>153.99479743331071</v>
      </c>
      <c r="R112" s="168">
        <f ca="1">IF($C112-R$1&lt;År1,0,Q111*(1-VLOOKUP($A112,[1]Hugst!$R$5:$W$9,MATCH(ROUNDUP((R$1)/10,0)*10,[1]Hugst!$R$4:$W$4,0))))</f>
        <v>154.53255287958316</v>
      </c>
      <c r="S112" s="168">
        <f ca="1">IF($C112-S$1&lt;År1,0,R111*(1-VLOOKUP($A112,[1]Hugst!$R$5:$W$9,MATCH(ROUNDUP((S$1)/10,0)*10,[1]Hugst!$R$4:$W$4,0))))</f>
        <v>155.07218618748655</v>
      </c>
      <c r="T112" s="168">
        <f ca="1">IF($C112-T$1&lt;År1,0,S111*(1-VLOOKUP($A112,[1]Hugst!$R$5:$W$9,MATCH(ROUNDUP((T$1)/10,0)*10,[1]Hugst!$R$4:$W$4,0))))</f>
        <v>155.61370391456583</v>
      </c>
      <c r="U112" s="168">
        <f ca="1">IF($C112-U$1&lt;År1,0,T111*(1-VLOOKUP($A112,[1]Hugst!$R$5:$W$9,MATCH(ROUNDUP((U$1)/10,0)*10,[1]Hugst!$R$4:$W$4,0))))</f>
        <v>156.15711264129635</v>
      </c>
      <c r="V112" s="168">
        <f ca="1">IF($C112-V$1&lt;År1,0,U111*(1-VLOOKUP($A112,[1]Hugst!$R$5:$W$9,MATCH(ROUNDUP((V$1)/10,0)*10,[1]Hugst!$R$4:$W$4,0))))</f>
        <v>156.7024189711054</v>
      </c>
      <c r="W112" s="168">
        <f ca="1">IF($C112-W$1&lt;År1,0,V111*(1-VLOOKUP($A112,[1]Hugst!$R$5:$W$9,MATCH(ROUNDUP((W$1)/10,0)*10,[1]Hugst!$R$4:$W$4,0))))</f>
        <v>157.249629530497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175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145.44841589273346</v>
      </c>
      <c r="E113" s="168">
        <f t="shared" ca="1" si="2"/>
        <v>2.1290433694794046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147.57745926221287</v>
      </c>
      <c r="G113" s="168">
        <f ca="1">IF($C113-G$1&lt;År1,0,F112*(1-VLOOKUP($A113,[1]Hugst!$R$5:$W$9,MATCH(ROUNDUP((G$1)/10,0)*10,[1]Hugst!$R$4:$W$4,0))))</f>
        <v>148.07797683012814</v>
      </c>
      <c r="H113" s="168">
        <f ca="1">IF($C113-H$1&lt;År1,0,G112*(1-VLOOKUP($A113,[1]Hugst!$R$5:$W$9,MATCH(ROUNDUP((H$1)/10,0)*10,[1]Hugst!$R$4:$W$4,0))))</f>
        <v>148.58064125422607</v>
      </c>
      <c r="I113" s="168">
        <f ca="1">IF($C113-I$1&lt;År1,0,H112*(1-VLOOKUP($A113,[1]Hugst!$R$5:$W$9,MATCH(ROUNDUP((I$1)/10,0)*10,[1]Hugst!$R$4:$W$4,0))))</f>
        <v>149.08546276004881</v>
      </c>
      <c r="J113" s="168">
        <f ca="1">IF($C113-J$1&lt;År1,0,I112*(1-VLOOKUP($A113,[1]Hugst!$R$5:$W$9,MATCH(ROUNDUP((J$1)/10,0)*10,[1]Hugst!$R$4:$W$4,0))))</f>
        <v>149.59245162365005</v>
      </c>
      <c r="K113" s="168">
        <f ca="1">IF($C113-K$1&lt;År1,0,J112*(1-VLOOKUP($A113,[1]Hugst!$R$5:$W$9,MATCH(ROUNDUP((K$1)/10,0)*10,[1]Hugst!$R$4:$W$4,0))))</f>
        <v>150.10161817187782</v>
      </c>
      <c r="L113" s="168">
        <f ca="1">IF($C113-L$1&lt;År1,0,K112*(1-VLOOKUP($A113,[1]Hugst!$R$5:$W$9,MATCH(ROUNDUP((L$1)/10,0)*10,[1]Hugst!$R$4:$W$4,0))))</f>
        <v>150.61297278260668</v>
      </c>
      <c r="M113" s="168">
        <f ca="1">IF($C113-M$1&lt;År1,0,L112*(1-VLOOKUP($A113,[1]Hugst!$R$5:$W$9,MATCH(ROUNDUP((M$1)/10,0)*10,[1]Hugst!$R$4:$W$4,0))))</f>
        <v>151.12652588498509</v>
      </c>
      <c r="N113" s="168">
        <f ca="1">IF($C113-N$1&lt;År1,0,M112*(1-VLOOKUP($A113,[1]Hugst!$R$5:$W$9,MATCH(ROUNDUP((N$1)/10,0)*10,[1]Hugst!$R$4:$W$4,0))))</f>
        <v>151.64228795973622</v>
      </c>
      <c r="O113" s="168">
        <f ca="1">IF($C113-O$1&lt;År1,0,N112*(1-VLOOKUP($A113,[1]Hugst!$R$5:$W$9,MATCH(ROUNDUP((O$1)/10,0)*10,[1]Hugst!$R$4:$W$4,0))))</f>
        <v>152.16026953933761</v>
      </c>
      <c r="P113" s="168">
        <f ca="1">IF($C113-P$1&lt;År1,0,O112*(1-VLOOKUP($A113,[1]Hugst!$R$5:$W$9,MATCH(ROUNDUP((P$1)/10,0)*10,[1]Hugst!$R$4:$W$4,0))))</f>
        <v>152.69161874733754</v>
      </c>
      <c r="Q113" s="168">
        <f ca="1">IF($C113-Q$1&lt;År1,0,P112*(1-VLOOKUP($A113,[1]Hugst!$R$5:$W$9,MATCH(ROUNDUP((Q$1)/10,0)*10,[1]Hugst!$R$4:$W$4,0))))</f>
        <v>153.22482344613661</v>
      </c>
      <c r="R113" s="168">
        <f ca="1">IF($C113-R$1&lt;År1,0,Q112*(1-VLOOKUP($A113,[1]Hugst!$R$5:$W$9,MATCH(ROUNDUP((R$1)/10,0)*10,[1]Hugst!$R$4:$W$4,0))))</f>
        <v>153.75989011519209</v>
      </c>
      <c r="S113" s="168">
        <f ca="1">IF($C113-S$1&lt;År1,0,R112*(1-VLOOKUP($A113,[1]Hugst!$R$5:$W$9,MATCH(ROUNDUP((S$1)/10,0)*10,[1]Hugst!$R$4:$W$4,0))))</f>
        <v>154.2968252565465</v>
      </c>
      <c r="T113" s="168">
        <f ca="1">IF($C113-T$1&lt;År1,0,S112*(1-VLOOKUP($A113,[1]Hugst!$R$5:$W$9,MATCH(ROUNDUP((T$1)/10,0)*10,[1]Hugst!$R$4:$W$4,0))))</f>
        <v>154.83563539499715</v>
      </c>
      <c r="U113" s="168">
        <f ca="1">IF($C113-U$1&lt;År1,0,T112*(1-VLOOKUP($A113,[1]Hugst!$R$5:$W$9,MATCH(ROUNDUP((U$1)/10,0)*10,[1]Hugst!$R$4:$W$4,0))))</f>
        <v>155.37632707808598</v>
      </c>
      <c r="V113" s="168">
        <f ca="1">IF($C113-V$1&lt;År1,0,U112*(1-VLOOKUP($A113,[1]Hugst!$R$5:$W$9,MATCH(ROUNDUP((V$1)/10,0)*10,[1]Hugst!$R$4:$W$4,0))))</f>
        <v>155.9189068762503</v>
      </c>
      <c r="W113" s="168">
        <f ca="1">IF($C113-W$1&lt;År1,0,V112*(1-VLOOKUP($A113,[1]Hugst!$R$5:$W$9,MATCH(ROUNDUP((W$1)/10,0)*10,[1]Hugst!$R$4:$W$4,0))))</f>
        <v>156.46338138284437</v>
      </c>
      <c r="X113" s="168">
        <f ca="1">IF($C113-X$1&lt;År1,0,W112*(1-VLOOKUP($A113,[1]Hugst!$R$5:$W$9,MATCH(ROUNDUP((X$1)/10,0)*10,[1]Hugst!$R$4:$W$4,0))))</f>
        <v>157.00975721426403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175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144.72117381326461</v>
      </c>
      <c r="E114" s="168">
        <f t="shared" ca="1" si="2"/>
        <v>2.3579045619417229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147.07907837520634</v>
      </c>
      <c r="G114" s="168">
        <f ca="1">IF($C114-G$1&lt;År1,0,F113*(1-VLOOKUP($A114,[1]Hugst!$R$5:$W$9,MATCH(ROUNDUP((G$1)/10,0)*10,[1]Hugst!$R$4:$W$4,0))))</f>
        <v>147.57745926221287</v>
      </c>
      <c r="H114" s="168">
        <f ca="1">IF($C114-H$1&lt;År1,0,G113*(1-VLOOKUP($A114,[1]Hugst!$R$5:$W$9,MATCH(ROUNDUP((H$1)/10,0)*10,[1]Hugst!$R$4:$W$4,0))))</f>
        <v>148.07797683012814</v>
      </c>
      <c r="I114" s="168">
        <f ca="1">IF($C114-I$1&lt;År1,0,H113*(1-VLOOKUP($A114,[1]Hugst!$R$5:$W$9,MATCH(ROUNDUP((I$1)/10,0)*10,[1]Hugst!$R$4:$W$4,0))))</f>
        <v>148.58064125422607</v>
      </c>
      <c r="J114" s="168">
        <f ca="1">IF($C114-J$1&lt;År1,0,I113*(1-VLOOKUP($A114,[1]Hugst!$R$5:$W$9,MATCH(ROUNDUP((J$1)/10,0)*10,[1]Hugst!$R$4:$W$4,0))))</f>
        <v>149.08546276004881</v>
      </c>
      <c r="K114" s="168">
        <f ca="1">IF($C114-K$1&lt;År1,0,J113*(1-VLOOKUP($A114,[1]Hugst!$R$5:$W$9,MATCH(ROUNDUP((K$1)/10,0)*10,[1]Hugst!$R$4:$W$4,0))))</f>
        <v>149.59245162365005</v>
      </c>
      <c r="L114" s="168">
        <f ca="1">IF($C114-L$1&lt;År1,0,K113*(1-VLOOKUP($A114,[1]Hugst!$R$5:$W$9,MATCH(ROUNDUP((L$1)/10,0)*10,[1]Hugst!$R$4:$W$4,0))))</f>
        <v>150.10161817187782</v>
      </c>
      <c r="M114" s="168">
        <f ca="1">IF($C114-M$1&lt;År1,0,L113*(1-VLOOKUP($A114,[1]Hugst!$R$5:$W$9,MATCH(ROUNDUP((M$1)/10,0)*10,[1]Hugst!$R$4:$W$4,0))))</f>
        <v>150.61297278260668</v>
      </c>
      <c r="N114" s="168">
        <f ca="1">IF($C114-N$1&lt;År1,0,M113*(1-VLOOKUP($A114,[1]Hugst!$R$5:$W$9,MATCH(ROUNDUP((N$1)/10,0)*10,[1]Hugst!$R$4:$W$4,0))))</f>
        <v>151.12652588498509</v>
      </c>
      <c r="O114" s="168">
        <f ca="1">IF($C114-O$1&lt;År1,0,N113*(1-VLOOKUP($A114,[1]Hugst!$R$5:$W$9,MATCH(ROUNDUP((O$1)/10,0)*10,[1]Hugst!$R$4:$W$4,0))))</f>
        <v>151.64228795973622</v>
      </c>
      <c r="P114" s="168">
        <f ca="1">IF($C114-P$1&lt;År1,0,O113*(1-VLOOKUP($A114,[1]Hugst!$R$5:$W$9,MATCH(ROUNDUP((P$1)/10,0)*10,[1]Hugst!$R$4:$W$4,0))))</f>
        <v>151.92816065359963</v>
      </c>
      <c r="Q114" s="168">
        <f ca="1">IF($C114-Q$1&lt;År1,0,P113*(1-VLOOKUP($A114,[1]Hugst!$R$5:$W$9,MATCH(ROUNDUP((Q$1)/10,0)*10,[1]Hugst!$R$4:$W$4,0))))</f>
        <v>152.4586993289094</v>
      </c>
      <c r="R114" s="168">
        <f ca="1">IF($C114-R$1&lt;År1,0,Q113*(1-VLOOKUP($A114,[1]Hugst!$R$5:$W$9,MATCH(ROUNDUP((R$1)/10,0)*10,[1]Hugst!$R$4:$W$4,0))))</f>
        <v>152.99109066460861</v>
      </c>
      <c r="S114" s="168">
        <f ca="1">IF($C114-S$1&lt;År1,0,R113*(1-VLOOKUP($A114,[1]Hugst!$R$5:$W$9,MATCH(ROUNDUP((S$1)/10,0)*10,[1]Hugst!$R$4:$W$4,0))))</f>
        <v>153.52534113027062</v>
      </c>
      <c r="T114" s="168">
        <f ca="1">IF($C114-T$1&lt;År1,0,S113*(1-VLOOKUP($A114,[1]Hugst!$R$5:$W$9,MATCH(ROUNDUP((T$1)/10,0)*10,[1]Hugst!$R$4:$W$4,0))))</f>
        <v>154.06145721801957</v>
      </c>
      <c r="U114" s="168">
        <f ca="1">IF($C114-U$1&lt;År1,0,T113*(1-VLOOKUP($A114,[1]Hugst!$R$5:$W$9,MATCH(ROUNDUP((U$1)/10,0)*10,[1]Hugst!$R$4:$W$4,0))))</f>
        <v>154.5994454426997</v>
      </c>
      <c r="V114" s="168">
        <f ca="1">IF($C114-V$1&lt;År1,0,U113*(1-VLOOKUP($A114,[1]Hugst!$R$5:$W$9,MATCH(ROUNDUP((V$1)/10,0)*10,[1]Hugst!$R$4:$W$4,0))))</f>
        <v>155.13931234186518</v>
      </c>
      <c r="W114" s="168">
        <f ca="1">IF($C114-W$1&lt;År1,0,V113*(1-VLOOKUP($A114,[1]Hugst!$R$5:$W$9,MATCH(ROUNDUP((W$1)/10,0)*10,[1]Hugst!$R$4:$W$4,0))))</f>
        <v>155.68106447593058</v>
      </c>
      <c r="X114" s="168">
        <f ca="1">IF($C114-X$1&lt;År1,0,W113*(1-VLOOKUP($A114,[1]Hugst!$R$5:$W$9,MATCH(ROUNDUP((X$1)/10,0)*10,[1]Hugst!$R$4:$W$4,0))))</f>
        <v>156.22470842819257</v>
      </c>
      <c r="Y114" s="168">
        <f ca="1">IF($C114-Y$1&lt;År1,0,X113*(1-VLOOKUP($A114,[1]Hugst!$R$5:$W$9,MATCH(ROUNDUP((Y$1)/10,0)*10,[1]Hugst!$R$4:$W$4,0))))</f>
        <v>156.77025080495412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175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143.99756794419955</v>
      </c>
      <c r="E115" s="168">
        <f t="shared" ca="1" si="2"/>
        <v>2.61884053890617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146.61640848310572</v>
      </c>
      <c r="G115" s="168">
        <f ca="1">IF($C115-G$1&lt;År1,0,F114*(1-VLOOKUP($A115,[1]Hugst!$R$5:$W$9,MATCH(ROUNDUP((G$1)/10,0)*10,[1]Hugst!$R$4:$W$4,0))))</f>
        <v>147.07907837520634</v>
      </c>
      <c r="H115" s="168">
        <f ca="1">IF($C115-H$1&lt;År1,0,G114*(1-VLOOKUP($A115,[1]Hugst!$R$5:$W$9,MATCH(ROUNDUP((H$1)/10,0)*10,[1]Hugst!$R$4:$W$4,0))))</f>
        <v>147.57745926221287</v>
      </c>
      <c r="I115" s="168">
        <f ca="1">IF($C115-I$1&lt;År1,0,H114*(1-VLOOKUP($A115,[1]Hugst!$R$5:$W$9,MATCH(ROUNDUP((I$1)/10,0)*10,[1]Hugst!$R$4:$W$4,0))))</f>
        <v>148.07797683012814</v>
      </c>
      <c r="J115" s="168">
        <f ca="1">IF($C115-J$1&lt;År1,0,I114*(1-VLOOKUP($A115,[1]Hugst!$R$5:$W$9,MATCH(ROUNDUP((J$1)/10,0)*10,[1]Hugst!$R$4:$W$4,0))))</f>
        <v>148.58064125422607</v>
      </c>
      <c r="K115" s="168">
        <f ca="1">IF($C115-K$1&lt;År1,0,J114*(1-VLOOKUP($A115,[1]Hugst!$R$5:$W$9,MATCH(ROUNDUP((K$1)/10,0)*10,[1]Hugst!$R$4:$W$4,0))))</f>
        <v>149.08546276004881</v>
      </c>
      <c r="L115" s="168">
        <f ca="1">IF($C115-L$1&lt;År1,0,K114*(1-VLOOKUP($A115,[1]Hugst!$R$5:$W$9,MATCH(ROUNDUP((L$1)/10,0)*10,[1]Hugst!$R$4:$W$4,0))))</f>
        <v>149.59245162365005</v>
      </c>
      <c r="M115" s="168">
        <f ca="1">IF($C115-M$1&lt;År1,0,L114*(1-VLOOKUP($A115,[1]Hugst!$R$5:$W$9,MATCH(ROUNDUP((M$1)/10,0)*10,[1]Hugst!$R$4:$W$4,0))))</f>
        <v>150.10161817187782</v>
      </c>
      <c r="N115" s="168">
        <f ca="1">IF($C115-N$1&lt;År1,0,M114*(1-VLOOKUP($A115,[1]Hugst!$R$5:$W$9,MATCH(ROUNDUP((N$1)/10,0)*10,[1]Hugst!$R$4:$W$4,0))))</f>
        <v>150.61297278260668</v>
      </c>
      <c r="O115" s="168">
        <f ca="1">IF($C115-O$1&lt;År1,0,N114*(1-VLOOKUP($A115,[1]Hugst!$R$5:$W$9,MATCH(ROUNDUP((O$1)/10,0)*10,[1]Hugst!$R$4:$W$4,0))))</f>
        <v>151.12652588498509</v>
      </c>
      <c r="P115" s="168">
        <f ca="1">IF($C115-P$1&lt;År1,0,O114*(1-VLOOKUP($A115,[1]Hugst!$R$5:$W$9,MATCH(ROUNDUP((P$1)/10,0)*10,[1]Hugst!$R$4:$W$4,0))))</f>
        <v>151.41096921539085</v>
      </c>
      <c r="Q115" s="168">
        <f ca="1">IF($C115-Q$1&lt;År1,0,P114*(1-VLOOKUP($A115,[1]Hugst!$R$5:$W$9,MATCH(ROUNDUP((Q$1)/10,0)*10,[1]Hugst!$R$4:$W$4,0))))</f>
        <v>151.69640583226362</v>
      </c>
      <c r="R115" s="168">
        <f ca="1">IF($C115-R$1&lt;År1,0,Q114*(1-VLOOKUP($A115,[1]Hugst!$R$5:$W$9,MATCH(ROUNDUP((R$1)/10,0)*10,[1]Hugst!$R$4:$W$4,0))))</f>
        <v>152.22613521128903</v>
      </c>
      <c r="S115" s="168">
        <f ca="1">IF($C115-S$1&lt;År1,0,R114*(1-VLOOKUP($A115,[1]Hugst!$R$5:$W$9,MATCH(ROUNDUP((S$1)/10,0)*10,[1]Hugst!$R$4:$W$4,0))))</f>
        <v>152.75771442461175</v>
      </c>
      <c r="T115" s="168">
        <f ca="1">IF($C115-T$1&lt;År1,0,S114*(1-VLOOKUP($A115,[1]Hugst!$R$5:$W$9,MATCH(ROUNDUP((T$1)/10,0)*10,[1]Hugst!$R$4:$W$4,0))))</f>
        <v>153.2911499319363</v>
      </c>
      <c r="U115" s="168">
        <f ca="1">IF($C115-U$1&lt;År1,0,T114*(1-VLOOKUP($A115,[1]Hugst!$R$5:$W$9,MATCH(ROUNDUP((U$1)/10,0)*10,[1]Hugst!$R$4:$W$4,0))))</f>
        <v>153.82644821548359</v>
      </c>
      <c r="V115" s="168">
        <f ca="1">IF($C115-V$1&lt;År1,0,U114*(1-VLOOKUP($A115,[1]Hugst!$R$5:$W$9,MATCH(ROUNDUP((V$1)/10,0)*10,[1]Hugst!$R$4:$W$4,0))))</f>
        <v>154.36361578015999</v>
      </c>
      <c r="W115" s="168">
        <f ca="1">IF($C115-W$1&lt;År1,0,V114*(1-VLOOKUP($A115,[1]Hugst!$R$5:$W$9,MATCH(ROUNDUP((W$1)/10,0)*10,[1]Hugst!$R$4:$W$4,0))))</f>
        <v>154.90265915354706</v>
      </c>
      <c r="X115" s="168">
        <f ca="1">IF($C115-X$1&lt;År1,0,W114*(1-VLOOKUP($A115,[1]Hugst!$R$5:$W$9,MATCH(ROUNDUP((X$1)/10,0)*10,[1]Hugst!$R$4:$W$4,0))))</f>
        <v>155.44358488605204</v>
      </c>
      <c r="Y115" s="168">
        <f ca="1">IF($C115-Y$1&lt;År1,0,X114*(1-VLOOKUP($A115,[1]Hugst!$R$5:$W$9,MATCH(ROUNDUP((Y$1)/10,0)*10,[1]Hugst!$R$4:$W$4,0))))</f>
        <v>155.98639955092924</v>
      </c>
      <c r="Z115" s="168">
        <f ca="1">IF($C115-Z$1&lt;År1,0,Y114*(1-VLOOKUP($A115,[1]Hugst!$R$5:$W$9,MATCH(ROUNDUP((Z$1)/10,0)*10,[1]Hugst!$R$4:$W$4,0))))</f>
        <v>156.4978957082167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175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143.27758010448088</v>
      </c>
      <c r="E116" s="168">
        <f t="shared" ca="1" si="2"/>
        <v>2.8783679497000776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146.15594805418095</v>
      </c>
      <c r="G116" s="168">
        <f ca="1">IF($C116-G$1&lt;År1,0,F115*(1-VLOOKUP($A116,[1]Hugst!$R$5:$W$9,MATCH(ROUNDUP((G$1)/10,0)*10,[1]Hugst!$R$4:$W$4,0))))</f>
        <v>146.61640848310572</v>
      </c>
      <c r="H116" s="168">
        <f ca="1">IF($C116-H$1&lt;År1,0,G115*(1-VLOOKUP($A116,[1]Hugst!$R$5:$W$9,MATCH(ROUNDUP((H$1)/10,0)*10,[1]Hugst!$R$4:$W$4,0))))</f>
        <v>147.07907837520634</v>
      </c>
      <c r="I116" s="168">
        <f ca="1">IF($C116-I$1&lt;År1,0,H115*(1-VLOOKUP($A116,[1]Hugst!$R$5:$W$9,MATCH(ROUNDUP((I$1)/10,0)*10,[1]Hugst!$R$4:$W$4,0))))</f>
        <v>147.57745926221287</v>
      </c>
      <c r="J116" s="168">
        <f ca="1">IF($C116-J$1&lt;År1,0,I115*(1-VLOOKUP($A116,[1]Hugst!$R$5:$W$9,MATCH(ROUNDUP((J$1)/10,0)*10,[1]Hugst!$R$4:$W$4,0))))</f>
        <v>148.07797683012814</v>
      </c>
      <c r="K116" s="168">
        <f ca="1">IF($C116-K$1&lt;År1,0,J115*(1-VLOOKUP($A116,[1]Hugst!$R$5:$W$9,MATCH(ROUNDUP((K$1)/10,0)*10,[1]Hugst!$R$4:$W$4,0))))</f>
        <v>148.58064125422607</v>
      </c>
      <c r="L116" s="168">
        <f ca="1">IF($C116-L$1&lt;År1,0,K115*(1-VLOOKUP($A116,[1]Hugst!$R$5:$W$9,MATCH(ROUNDUP((L$1)/10,0)*10,[1]Hugst!$R$4:$W$4,0))))</f>
        <v>149.08546276004881</v>
      </c>
      <c r="M116" s="168">
        <f ca="1">IF($C116-M$1&lt;År1,0,L115*(1-VLOOKUP($A116,[1]Hugst!$R$5:$W$9,MATCH(ROUNDUP((M$1)/10,0)*10,[1]Hugst!$R$4:$W$4,0))))</f>
        <v>149.59245162365005</v>
      </c>
      <c r="N116" s="168">
        <f ca="1">IF($C116-N$1&lt;År1,0,M115*(1-VLOOKUP($A116,[1]Hugst!$R$5:$W$9,MATCH(ROUNDUP((N$1)/10,0)*10,[1]Hugst!$R$4:$W$4,0))))</f>
        <v>150.10161817187782</v>
      </c>
      <c r="O116" s="168">
        <f ca="1">IF($C116-O$1&lt;År1,0,N115*(1-VLOOKUP($A116,[1]Hugst!$R$5:$W$9,MATCH(ROUNDUP((O$1)/10,0)*10,[1]Hugst!$R$4:$W$4,0))))</f>
        <v>150.61297278260668</v>
      </c>
      <c r="P116" s="168">
        <f ca="1">IF($C116-P$1&lt;År1,0,O115*(1-VLOOKUP($A116,[1]Hugst!$R$5:$W$9,MATCH(ROUNDUP((P$1)/10,0)*10,[1]Hugst!$R$4:$W$4,0))))</f>
        <v>150.89599389634697</v>
      </c>
      <c r="Q116" s="168">
        <f ca="1">IF($C116-Q$1&lt;År1,0,P115*(1-VLOOKUP($A116,[1]Hugst!$R$5:$W$9,MATCH(ROUNDUP((Q$1)/10,0)*10,[1]Hugst!$R$4:$W$4,0))))</f>
        <v>151.18000333014703</v>
      </c>
      <c r="R116" s="168">
        <f ca="1">IF($C116-R$1&lt;År1,0,Q115*(1-VLOOKUP($A116,[1]Hugst!$R$5:$W$9,MATCH(ROUNDUP((R$1)/10,0)*10,[1]Hugst!$R$4:$W$4,0))))</f>
        <v>151.46500453523134</v>
      </c>
      <c r="S116" s="168">
        <f ca="1">IF($C116-S$1&lt;År1,0,R115*(1-VLOOKUP($A116,[1]Hugst!$R$5:$W$9,MATCH(ROUNDUP((S$1)/10,0)*10,[1]Hugst!$R$4:$W$4,0))))</f>
        <v>151.99392585249214</v>
      </c>
      <c r="T116" s="168">
        <f ca="1">IF($C116-T$1&lt;År1,0,S115*(1-VLOOKUP($A116,[1]Hugst!$R$5:$W$9,MATCH(ROUNDUP((T$1)/10,0)*10,[1]Hugst!$R$4:$W$4,0))))</f>
        <v>152.52469418226912</v>
      </c>
      <c r="U116" s="168">
        <f ca="1">IF($C116-U$1&lt;År1,0,T115*(1-VLOOKUP($A116,[1]Hugst!$R$5:$W$9,MATCH(ROUNDUP((U$1)/10,0)*10,[1]Hugst!$R$4:$W$4,0))))</f>
        <v>153.057315974413</v>
      </c>
      <c r="V116" s="168">
        <f ca="1">IF($C116-V$1&lt;År1,0,U115*(1-VLOOKUP($A116,[1]Hugst!$R$5:$W$9,MATCH(ROUNDUP((V$1)/10,0)*10,[1]Hugst!$R$4:$W$4,0))))</f>
        <v>153.59179770125658</v>
      </c>
      <c r="W116" s="168">
        <f ca="1">IF($C116-W$1&lt;År1,0,V115*(1-VLOOKUP($A116,[1]Hugst!$R$5:$W$9,MATCH(ROUNDUP((W$1)/10,0)*10,[1]Hugst!$R$4:$W$4,0))))</f>
        <v>154.12814585778347</v>
      </c>
      <c r="X116" s="168">
        <f ca="1">IF($C116-X$1&lt;År1,0,W115*(1-VLOOKUP($A116,[1]Hugst!$R$5:$W$9,MATCH(ROUNDUP((X$1)/10,0)*10,[1]Hugst!$R$4:$W$4,0))))</f>
        <v>154.66636696161791</v>
      </c>
      <c r="Y116" s="168">
        <f ca="1">IF($C116-Y$1&lt;År1,0,X115*(1-VLOOKUP($A116,[1]Hugst!$R$5:$W$9,MATCH(ROUNDUP((Y$1)/10,0)*10,[1]Hugst!$R$4:$W$4,0))))</f>
        <v>155.206467553175</v>
      </c>
      <c r="Z116" s="168">
        <f ca="1">IF($C116-Z$1&lt;År1,0,Y115*(1-VLOOKUP($A116,[1]Hugst!$R$5:$W$9,MATCH(ROUNDUP((Z$1)/10,0)*10,[1]Hugst!$R$4:$W$4,0))))</f>
        <v>155.71540622967549</v>
      </c>
      <c r="AA116" s="168">
        <f ca="1">IF($C116-AA$1&lt;År1,0,Z115*(1-VLOOKUP($A116,[1]Hugst!$R$5:$W$9,MATCH(ROUNDUP((AA$1)/10,0)*10,[1]Hugst!$R$4:$W$4,0))))</f>
        <v>156.2260137707575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175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142.56119220395703</v>
      </c>
      <c r="E117" s="168">
        <f t="shared" ca="1" si="2"/>
        <v>3.1364935317105846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145.69768573566762</v>
      </c>
      <c r="G117" s="168">
        <f ca="1">IF($C117-G$1&lt;År1,0,F116*(1-VLOOKUP($A117,[1]Hugst!$R$5:$W$9,MATCH(ROUNDUP((G$1)/10,0)*10,[1]Hugst!$R$4:$W$4,0))))</f>
        <v>146.15594805418095</v>
      </c>
      <c r="H117" s="168">
        <f ca="1">IF($C117-H$1&lt;År1,0,G116*(1-VLOOKUP($A117,[1]Hugst!$R$5:$W$9,MATCH(ROUNDUP((H$1)/10,0)*10,[1]Hugst!$R$4:$W$4,0))))</f>
        <v>146.61640848310572</v>
      </c>
      <c r="I117" s="168">
        <f ca="1">IF($C117-I$1&lt;År1,0,H116*(1-VLOOKUP($A117,[1]Hugst!$R$5:$W$9,MATCH(ROUNDUP((I$1)/10,0)*10,[1]Hugst!$R$4:$W$4,0))))</f>
        <v>147.07907837520634</v>
      </c>
      <c r="J117" s="168">
        <f ca="1">IF($C117-J$1&lt;År1,0,I116*(1-VLOOKUP($A117,[1]Hugst!$R$5:$W$9,MATCH(ROUNDUP((J$1)/10,0)*10,[1]Hugst!$R$4:$W$4,0))))</f>
        <v>147.57745926221287</v>
      </c>
      <c r="K117" s="168">
        <f ca="1">IF($C117-K$1&lt;År1,0,J116*(1-VLOOKUP($A117,[1]Hugst!$R$5:$W$9,MATCH(ROUNDUP((K$1)/10,0)*10,[1]Hugst!$R$4:$W$4,0))))</f>
        <v>148.07797683012814</v>
      </c>
      <c r="L117" s="168">
        <f ca="1">IF($C117-L$1&lt;År1,0,K116*(1-VLOOKUP($A117,[1]Hugst!$R$5:$W$9,MATCH(ROUNDUP((L$1)/10,0)*10,[1]Hugst!$R$4:$W$4,0))))</f>
        <v>148.58064125422607</v>
      </c>
      <c r="M117" s="168">
        <f ca="1">IF($C117-M$1&lt;År1,0,L116*(1-VLOOKUP($A117,[1]Hugst!$R$5:$W$9,MATCH(ROUNDUP((M$1)/10,0)*10,[1]Hugst!$R$4:$W$4,0))))</f>
        <v>149.08546276004881</v>
      </c>
      <c r="N117" s="168">
        <f ca="1">IF($C117-N$1&lt;År1,0,M116*(1-VLOOKUP($A117,[1]Hugst!$R$5:$W$9,MATCH(ROUNDUP((N$1)/10,0)*10,[1]Hugst!$R$4:$W$4,0))))</f>
        <v>149.59245162365005</v>
      </c>
      <c r="O117" s="168">
        <f ca="1">IF($C117-O$1&lt;År1,0,N116*(1-VLOOKUP($A117,[1]Hugst!$R$5:$W$9,MATCH(ROUNDUP((O$1)/10,0)*10,[1]Hugst!$R$4:$W$4,0))))</f>
        <v>150.10161817187782</v>
      </c>
      <c r="P117" s="168">
        <f ca="1">IF($C117-P$1&lt;År1,0,O116*(1-VLOOKUP($A117,[1]Hugst!$R$5:$W$9,MATCH(ROUNDUP((P$1)/10,0)*10,[1]Hugst!$R$4:$W$4,0))))</f>
        <v>150.38322418005694</v>
      </c>
      <c r="Q117" s="168">
        <f ca="1">IF($C117-Q$1&lt;År1,0,P116*(1-VLOOKUP($A117,[1]Hugst!$R$5:$W$9,MATCH(ROUNDUP((Q$1)/10,0)*10,[1]Hugst!$R$4:$W$4,0))))</f>
        <v>150.66581356667456</v>
      </c>
      <c r="R117" s="168">
        <f ca="1">IF($C117-R$1&lt;År1,0,Q116*(1-VLOOKUP($A117,[1]Hugst!$R$5:$W$9,MATCH(ROUNDUP((R$1)/10,0)*10,[1]Hugst!$R$4:$W$4,0))))</f>
        <v>150.94938976574511</v>
      </c>
      <c r="S117" s="168">
        <f ca="1">IF($C117-S$1&lt;År1,0,R116*(1-VLOOKUP($A117,[1]Hugst!$R$5:$W$9,MATCH(ROUNDUP((S$1)/10,0)*10,[1]Hugst!$R$4:$W$4,0))))</f>
        <v>151.23395622322843</v>
      </c>
      <c r="T117" s="168">
        <f ca="1">IF($C117-T$1&lt;År1,0,S116*(1-VLOOKUP($A117,[1]Hugst!$R$5:$W$9,MATCH(ROUNDUP((T$1)/10,0)*10,[1]Hugst!$R$4:$W$4,0))))</f>
        <v>151.76207071136122</v>
      </c>
      <c r="U117" s="168">
        <f ca="1">IF($C117-U$1&lt;År1,0,T116*(1-VLOOKUP($A117,[1]Hugst!$R$5:$W$9,MATCH(ROUNDUP((U$1)/10,0)*10,[1]Hugst!$R$4:$W$4,0))))</f>
        <v>152.29202939453344</v>
      </c>
      <c r="V117" s="168">
        <f ca="1">IF($C117-V$1&lt;År1,0,U116*(1-VLOOKUP($A117,[1]Hugst!$R$5:$W$9,MATCH(ROUNDUP((V$1)/10,0)*10,[1]Hugst!$R$4:$W$4,0))))</f>
        <v>152.82383871275712</v>
      </c>
      <c r="W117" s="168">
        <f ca="1">IF($C117-W$1&lt;År1,0,V116*(1-VLOOKUP($A117,[1]Hugst!$R$5:$W$9,MATCH(ROUNDUP((W$1)/10,0)*10,[1]Hugst!$R$4:$W$4,0))))</f>
        <v>153.35750512849194</v>
      </c>
      <c r="X117" s="168">
        <f ca="1">IF($C117-X$1&lt;År1,0,W116*(1-VLOOKUP($A117,[1]Hugst!$R$5:$W$9,MATCH(ROUNDUP((X$1)/10,0)*10,[1]Hugst!$R$4:$W$4,0))))</f>
        <v>153.89303512681397</v>
      </c>
      <c r="Y117" s="168">
        <f ca="1">IF($C117-Y$1&lt;År1,0,X116*(1-VLOOKUP($A117,[1]Hugst!$R$5:$W$9,MATCH(ROUNDUP((Y$1)/10,0)*10,[1]Hugst!$R$4:$W$4,0))))</f>
        <v>154.43043521540528</v>
      </c>
      <c r="Z117" s="168">
        <f ca="1">IF($C117-Z$1&lt;År1,0,Y116*(1-VLOOKUP($A117,[1]Hugst!$R$5:$W$9,MATCH(ROUNDUP((Z$1)/10,0)*10,[1]Hugst!$R$4:$W$4,0))))</f>
        <v>154.93682919852753</v>
      </c>
      <c r="AA117" s="168">
        <f ca="1">IF($C117-AA$1&lt;År1,0,Z116*(1-VLOOKUP($A117,[1]Hugst!$R$5:$W$9,MATCH(ROUNDUP((AA$1)/10,0)*10,[1]Hugst!$R$4:$W$4,0))))</f>
        <v>155.44488370190359</v>
      </c>
      <c r="AB117" s="168">
        <f ca="1">IF($C117-AB$1&lt;År1,0,AA116*(1-VLOOKUP($A117,[1]Hugst!$R$5:$W$9,MATCH(ROUNDUP((AB$1)/10,0)*10,[1]Hugst!$R$4:$W$4,0))))</f>
        <v>155.95460417056253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175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141.84838624293843</v>
      </c>
      <c r="E118" s="168">
        <f t="shared" ca="1" si="2"/>
        <v>3.3932239897917498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145.24161023273018</v>
      </c>
      <c r="G118" s="168">
        <f ca="1">IF($C118-G$1&lt;År1,0,F117*(1-VLOOKUP($A118,[1]Hugst!$R$5:$W$9,MATCH(ROUNDUP((G$1)/10,0)*10,[1]Hugst!$R$4:$W$4,0))))</f>
        <v>145.69768573566762</v>
      </c>
      <c r="H118" s="168">
        <f ca="1">IF($C118-H$1&lt;År1,0,G117*(1-VLOOKUP($A118,[1]Hugst!$R$5:$W$9,MATCH(ROUNDUP((H$1)/10,0)*10,[1]Hugst!$R$4:$W$4,0))))</f>
        <v>146.15594805418095</v>
      </c>
      <c r="I118" s="168">
        <f ca="1">IF($C118-I$1&lt;År1,0,H117*(1-VLOOKUP($A118,[1]Hugst!$R$5:$W$9,MATCH(ROUNDUP((I$1)/10,0)*10,[1]Hugst!$R$4:$W$4,0))))</f>
        <v>146.61640848310572</v>
      </c>
      <c r="J118" s="168">
        <f ca="1">IF($C118-J$1&lt;År1,0,I117*(1-VLOOKUP($A118,[1]Hugst!$R$5:$W$9,MATCH(ROUNDUP((J$1)/10,0)*10,[1]Hugst!$R$4:$W$4,0))))</f>
        <v>147.07907837520634</v>
      </c>
      <c r="K118" s="168">
        <f ca="1">IF($C118-K$1&lt;År1,0,J117*(1-VLOOKUP($A118,[1]Hugst!$R$5:$W$9,MATCH(ROUNDUP((K$1)/10,0)*10,[1]Hugst!$R$4:$W$4,0))))</f>
        <v>147.57745926221287</v>
      </c>
      <c r="L118" s="168">
        <f ca="1">IF($C118-L$1&lt;År1,0,K117*(1-VLOOKUP($A118,[1]Hugst!$R$5:$W$9,MATCH(ROUNDUP((L$1)/10,0)*10,[1]Hugst!$R$4:$W$4,0))))</f>
        <v>148.07797683012814</v>
      </c>
      <c r="M118" s="168">
        <f ca="1">IF($C118-M$1&lt;År1,0,L117*(1-VLOOKUP($A118,[1]Hugst!$R$5:$W$9,MATCH(ROUNDUP((M$1)/10,0)*10,[1]Hugst!$R$4:$W$4,0))))</f>
        <v>148.58064125422607</v>
      </c>
      <c r="N118" s="168">
        <f ca="1">IF($C118-N$1&lt;År1,0,M117*(1-VLOOKUP($A118,[1]Hugst!$R$5:$W$9,MATCH(ROUNDUP((N$1)/10,0)*10,[1]Hugst!$R$4:$W$4,0))))</f>
        <v>149.08546276004881</v>
      </c>
      <c r="O118" s="168">
        <f ca="1">IF($C118-O$1&lt;År1,0,N117*(1-VLOOKUP($A118,[1]Hugst!$R$5:$W$9,MATCH(ROUNDUP((O$1)/10,0)*10,[1]Hugst!$R$4:$W$4,0))))</f>
        <v>149.59245162365005</v>
      </c>
      <c r="P118" s="168">
        <f ca="1">IF($C118-P$1&lt;År1,0,O117*(1-VLOOKUP($A118,[1]Hugst!$R$5:$W$9,MATCH(ROUNDUP((P$1)/10,0)*10,[1]Hugst!$R$4:$W$4,0))))</f>
        <v>149.87264960178513</v>
      </c>
      <c r="Q118" s="168">
        <f ca="1">IF($C118-Q$1&lt;År1,0,P117*(1-VLOOKUP($A118,[1]Hugst!$R$5:$W$9,MATCH(ROUNDUP((Q$1)/10,0)*10,[1]Hugst!$R$4:$W$4,0))))</f>
        <v>150.1538260414772</v>
      </c>
      <c r="R118" s="168">
        <f ca="1">IF($C118-R$1&lt;År1,0,Q117*(1-VLOOKUP($A118,[1]Hugst!$R$5:$W$9,MATCH(ROUNDUP((R$1)/10,0)*10,[1]Hugst!$R$4:$W$4,0))))</f>
        <v>150.43598435953893</v>
      </c>
      <c r="S118" s="168">
        <f ca="1">IF($C118-S$1&lt;År1,0,R117*(1-VLOOKUP($A118,[1]Hugst!$R$5:$W$9,MATCH(ROUNDUP((S$1)/10,0)*10,[1]Hugst!$R$4:$W$4,0))))</f>
        <v>150.71912798474651</v>
      </c>
      <c r="T118" s="168">
        <f ca="1">IF($C118-T$1&lt;År1,0,S117*(1-VLOOKUP($A118,[1]Hugst!$R$5:$W$9,MATCH(ROUNDUP((T$1)/10,0)*10,[1]Hugst!$R$4:$W$4,0))))</f>
        <v>151.00326035780316</v>
      </c>
      <c r="U118" s="168">
        <f ca="1">IF($C118-U$1&lt;År1,0,T117*(1-VLOOKUP($A118,[1]Hugst!$R$5:$W$9,MATCH(ROUNDUP((U$1)/10,0)*10,[1]Hugst!$R$4:$W$4,0))))</f>
        <v>151.53056924756422</v>
      </c>
      <c r="V118" s="168">
        <f ca="1">IF($C118-V$1&lt;År1,0,U117*(1-VLOOKUP($A118,[1]Hugst!$R$5:$W$9,MATCH(ROUNDUP((V$1)/10,0)*10,[1]Hugst!$R$4:$W$4,0))))</f>
        <v>152.05971951918585</v>
      </c>
      <c r="W118" s="168">
        <f ca="1">IF($C118-W$1&lt;År1,0,V117*(1-VLOOKUP($A118,[1]Hugst!$R$5:$W$9,MATCH(ROUNDUP((W$1)/10,0)*10,[1]Hugst!$R$4:$W$4,0))))</f>
        <v>152.5907176028563</v>
      </c>
      <c r="X118" s="168">
        <f ca="1">IF($C118-X$1&lt;År1,0,W117*(1-VLOOKUP($A118,[1]Hugst!$R$5:$W$9,MATCH(ROUNDUP((X$1)/10,0)*10,[1]Hugst!$R$4:$W$4,0))))</f>
        <v>153.12356995117727</v>
      </c>
      <c r="Y118" s="168">
        <f ca="1">IF($C118-Y$1&lt;År1,0,X117*(1-VLOOKUP($A118,[1]Hugst!$R$5:$W$9,MATCH(ROUNDUP((Y$1)/10,0)*10,[1]Hugst!$R$4:$W$4,0))))</f>
        <v>153.65828303933239</v>
      </c>
      <c r="Z118" s="168">
        <f ca="1">IF($C118-Z$1&lt;År1,0,Y117*(1-VLOOKUP($A118,[1]Hugst!$R$5:$W$9,MATCH(ROUNDUP((Z$1)/10,0)*10,[1]Hugst!$R$4:$W$4,0))))</f>
        <v>154.16214505253106</v>
      </c>
      <c r="AA118" s="168">
        <f ca="1">IF($C118-AA$1&lt;År1,0,Z117*(1-VLOOKUP($A118,[1]Hugst!$R$5:$W$9,MATCH(ROUNDUP((AA$1)/10,0)*10,[1]Hugst!$R$4:$W$4,0))))</f>
        <v>154.6676592833945</v>
      </c>
      <c r="AB118" s="168">
        <f ca="1">IF($C118-AB$1&lt;År1,0,AA117*(1-VLOOKUP($A118,[1]Hugst!$R$5:$W$9,MATCH(ROUNDUP((AB$1)/10,0)*10,[1]Hugst!$R$4:$W$4,0))))</f>
        <v>155.1748311497096</v>
      </c>
      <c r="AC118" s="168">
        <f ca="1">IF($C118-AC$1&lt;År1,0,AB117*(1-VLOOKUP($A118,[1]Hugst!$R$5:$W$9,MATCH(ROUNDUP((AC$1)/10,0)*10,[1]Hugst!$R$4:$W$4,0))))</f>
        <v>155.68366608704588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175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141.13914431172088</v>
      </c>
      <c r="E119" s="168">
        <f t="shared" ca="1" si="2"/>
        <v>3.648565996420075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144.78771030814096</v>
      </c>
      <c r="G119" s="168">
        <f ca="1">IF($C119-G$1&lt;År1,0,F118*(1-VLOOKUP($A119,[1]Hugst!$R$5:$W$9,MATCH(ROUNDUP((G$1)/10,0)*10,[1]Hugst!$R$4:$W$4,0))))</f>
        <v>145.24161023273018</v>
      </c>
      <c r="H119" s="168">
        <f ca="1">IF($C119-H$1&lt;År1,0,G118*(1-VLOOKUP($A119,[1]Hugst!$R$5:$W$9,MATCH(ROUNDUP((H$1)/10,0)*10,[1]Hugst!$R$4:$W$4,0))))</f>
        <v>145.69768573566762</v>
      </c>
      <c r="I119" s="168">
        <f ca="1">IF($C119-I$1&lt;År1,0,H118*(1-VLOOKUP($A119,[1]Hugst!$R$5:$W$9,MATCH(ROUNDUP((I$1)/10,0)*10,[1]Hugst!$R$4:$W$4,0))))</f>
        <v>146.15594805418095</v>
      </c>
      <c r="J119" s="168">
        <f ca="1">IF($C119-J$1&lt;År1,0,I118*(1-VLOOKUP($A119,[1]Hugst!$R$5:$W$9,MATCH(ROUNDUP((J$1)/10,0)*10,[1]Hugst!$R$4:$W$4,0))))</f>
        <v>146.61640848310572</v>
      </c>
      <c r="K119" s="168">
        <f ca="1">IF($C119-K$1&lt;År1,0,J118*(1-VLOOKUP($A119,[1]Hugst!$R$5:$W$9,MATCH(ROUNDUP((K$1)/10,0)*10,[1]Hugst!$R$4:$W$4,0))))</f>
        <v>147.07907837520634</v>
      </c>
      <c r="L119" s="168">
        <f ca="1">IF($C119-L$1&lt;År1,0,K118*(1-VLOOKUP($A119,[1]Hugst!$R$5:$W$9,MATCH(ROUNDUP((L$1)/10,0)*10,[1]Hugst!$R$4:$W$4,0))))</f>
        <v>147.57745926221287</v>
      </c>
      <c r="M119" s="168">
        <f ca="1">IF($C119-M$1&lt;År1,0,L118*(1-VLOOKUP($A119,[1]Hugst!$R$5:$W$9,MATCH(ROUNDUP((M$1)/10,0)*10,[1]Hugst!$R$4:$W$4,0))))</f>
        <v>148.07797683012814</v>
      </c>
      <c r="N119" s="168">
        <f ca="1">IF($C119-N$1&lt;År1,0,M118*(1-VLOOKUP($A119,[1]Hugst!$R$5:$W$9,MATCH(ROUNDUP((N$1)/10,0)*10,[1]Hugst!$R$4:$W$4,0))))</f>
        <v>148.58064125422607</v>
      </c>
      <c r="O119" s="168">
        <f ca="1">IF($C119-O$1&lt;År1,0,N118*(1-VLOOKUP($A119,[1]Hugst!$R$5:$W$9,MATCH(ROUNDUP((O$1)/10,0)*10,[1]Hugst!$R$4:$W$4,0))))</f>
        <v>149.08546276004881</v>
      </c>
      <c r="P119" s="168">
        <f ca="1">IF($C119-P$1&lt;År1,0,O118*(1-VLOOKUP($A119,[1]Hugst!$R$5:$W$9,MATCH(ROUNDUP((P$1)/10,0)*10,[1]Hugst!$R$4:$W$4,0))))</f>
        <v>149.36425974829194</v>
      </c>
      <c r="Q119" s="168">
        <f ca="1">IF($C119-Q$1&lt;År1,0,P118*(1-VLOOKUP($A119,[1]Hugst!$R$5:$W$9,MATCH(ROUNDUP((Q$1)/10,0)*10,[1]Hugst!$R$4:$W$4,0))))</f>
        <v>149.64403030578239</v>
      </c>
      <c r="R119" s="168">
        <f ca="1">IF($C119-R$1&lt;År1,0,Q118*(1-VLOOKUP($A119,[1]Hugst!$R$5:$W$9,MATCH(ROUNDUP((R$1)/10,0)*10,[1]Hugst!$R$4:$W$4,0))))</f>
        <v>149.92477783226138</v>
      </c>
      <c r="S119" s="168">
        <f ca="1">IF($C119-S$1&lt;År1,0,R118*(1-VLOOKUP($A119,[1]Hugst!$R$5:$W$9,MATCH(ROUNDUP((S$1)/10,0)*10,[1]Hugst!$R$4:$W$4,0))))</f>
        <v>150.20650573932946</v>
      </c>
      <c r="T119" s="168">
        <f ca="1">IF($C119-T$1&lt;År1,0,S118*(1-VLOOKUP($A119,[1]Hugst!$R$5:$W$9,MATCH(ROUNDUP((T$1)/10,0)*10,[1]Hugst!$R$4:$W$4,0))))</f>
        <v>150.48921745053249</v>
      </c>
      <c r="U119" s="168">
        <f ca="1">IF($C119-U$1&lt;År1,0,T118*(1-VLOOKUP($A119,[1]Hugst!$R$5:$W$9,MATCH(ROUNDUP((U$1)/10,0)*10,[1]Hugst!$R$4:$W$4,0))))</f>
        <v>150.77291640132515</v>
      </c>
      <c r="V119" s="168">
        <f ca="1">IF($C119-V$1&lt;År1,0,U118*(1-VLOOKUP($A119,[1]Hugst!$R$5:$W$9,MATCH(ROUNDUP((V$1)/10,0)*10,[1]Hugst!$R$4:$W$4,0))))</f>
        <v>151.29942092159334</v>
      </c>
      <c r="W119" s="168">
        <f ca="1">IF($C119-W$1&lt;År1,0,V118*(1-VLOOKUP($A119,[1]Hugst!$R$5:$W$9,MATCH(ROUNDUP((W$1)/10,0)*10,[1]Hugst!$R$4:$W$4,0))))</f>
        <v>151.82776401483454</v>
      </c>
      <c r="X119" s="168">
        <f ca="1">IF($C119-X$1&lt;År1,0,W118*(1-VLOOKUP($A119,[1]Hugst!$R$5:$W$9,MATCH(ROUNDUP((X$1)/10,0)*10,[1]Hugst!$R$4:$W$4,0))))</f>
        <v>152.35795210142822</v>
      </c>
      <c r="Y119" s="168">
        <f ca="1">IF($C119-Y$1&lt;År1,0,X118*(1-VLOOKUP($A119,[1]Hugst!$R$5:$W$9,MATCH(ROUNDUP((Y$1)/10,0)*10,[1]Hugst!$R$4:$W$4,0))))</f>
        <v>152.8899916241331</v>
      </c>
      <c r="Z119" s="168">
        <f ca="1">IF($C119-Z$1&lt;År1,0,Y118*(1-VLOOKUP($A119,[1]Hugst!$R$5:$W$9,MATCH(ROUNDUP((Z$1)/10,0)*10,[1]Hugst!$R$4:$W$4,0))))</f>
        <v>153.39133432727252</v>
      </c>
      <c r="AA119" s="168">
        <f ca="1">IF($C119-AA$1&lt;År1,0,Z118*(1-VLOOKUP($A119,[1]Hugst!$R$5:$W$9,MATCH(ROUNDUP((AA$1)/10,0)*10,[1]Hugst!$R$4:$W$4,0))))</f>
        <v>153.8943209869737</v>
      </c>
      <c r="AB119" s="168">
        <f ca="1">IF($C119-AB$1&lt;År1,0,AA118*(1-VLOOKUP($A119,[1]Hugst!$R$5:$W$9,MATCH(ROUNDUP((AB$1)/10,0)*10,[1]Hugst!$R$4:$W$4,0))))</f>
        <v>154.39895699396149</v>
      </c>
      <c r="AC119" s="168">
        <f ca="1">IF($C119-AC$1&lt;År1,0,AB118*(1-VLOOKUP($A119,[1]Hugst!$R$5:$W$9,MATCH(ROUNDUP((AC$1)/10,0)*10,[1]Hugst!$R$4:$W$4,0))))</f>
        <v>154.90524775661052</v>
      </c>
      <c r="AD119" s="168">
        <f ca="1">IF($C119-AD$1&lt;År1,0,AC118*(1-VLOOKUP($A119,[1]Hugst!$R$5:$W$9,MATCH(ROUNDUP((AD$1)/10,0)*10,[1]Hugst!$R$4:$W$4,0))))</f>
        <v>155.41319870104718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175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140.43344859016361</v>
      </c>
      <c r="E120" s="168">
        <f t="shared" ca="1" si="2"/>
        <v>3.9025261918609431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144.33597478202455</v>
      </c>
      <c r="G120" s="168">
        <f ca="1">IF($C120-G$1&lt;År1,0,F119*(1-VLOOKUP($A120,[1]Hugst!$R$5:$W$9,MATCH(ROUNDUP((G$1)/10,0)*10,[1]Hugst!$R$4:$W$4,0))))</f>
        <v>144.78771030814096</v>
      </c>
      <c r="H120" s="168">
        <f ca="1">IF($C120-H$1&lt;År1,0,G119*(1-VLOOKUP($A120,[1]Hugst!$R$5:$W$9,MATCH(ROUNDUP((H$1)/10,0)*10,[1]Hugst!$R$4:$W$4,0))))</f>
        <v>145.24161023273018</v>
      </c>
      <c r="I120" s="168">
        <f ca="1">IF($C120-I$1&lt;År1,0,H119*(1-VLOOKUP($A120,[1]Hugst!$R$5:$W$9,MATCH(ROUNDUP((I$1)/10,0)*10,[1]Hugst!$R$4:$W$4,0))))</f>
        <v>145.69768573566762</v>
      </c>
      <c r="J120" s="168">
        <f ca="1">IF($C120-J$1&lt;År1,0,I119*(1-VLOOKUP($A120,[1]Hugst!$R$5:$W$9,MATCH(ROUNDUP((J$1)/10,0)*10,[1]Hugst!$R$4:$W$4,0))))</f>
        <v>146.15594805418095</v>
      </c>
      <c r="K120" s="168">
        <f ca="1">IF($C120-K$1&lt;År1,0,J119*(1-VLOOKUP($A120,[1]Hugst!$R$5:$W$9,MATCH(ROUNDUP((K$1)/10,0)*10,[1]Hugst!$R$4:$W$4,0))))</f>
        <v>146.61640848310572</v>
      </c>
      <c r="L120" s="168">
        <f ca="1">IF($C120-L$1&lt;År1,0,K119*(1-VLOOKUP($A120,[1]Hugst!$R$5:$W$9,MATCH(ROUNDUP((L$1)/10,0)*10,[1]Hugst!$R$4:$W$4,0))))</f>
        <v>147.07907837520634</v>
      </c>
      <c r="M120" s="168">
        <f ca="1">IF($C120-M$1&lt;År1,0,L119*(1-VLOOKUP($A120,[1]Hugst!$R$5:$W$9,MATCH(ROUNDUP((M$1)/10,0)*10,[1]Hugst!$R$4:$W$4,0))))</f>
        <v>147.57745926221287</v>
      </c>
      <c r="N120" s="168">
        <f ca="1">IF($C120-N$1&lt;År1,0,M119*(1-VLOOKUP($A120,[1]Hugst!$R$5:$W$9,MATCH(ROUNDUP((N$1)/10,0)*10,[1]Hugst!$R$4:$W$4,0))))</f>
        <v>148.07797683012814</v>
      </c>
      <c r="O120" s="168">
        <f ca="1">IF($C120-O$1&lt;År1,0,N119*(1-VLOOKUP($A120,[1]Hugst!$R$5:$W$9,MATCH(ROUNDUP((O$1)/10,0)*10,[1]Hugst!$R$4:$W$4,0))))</f>
        <v>148.58064125422607</v>
      </c>
      <c r="P120" s="168">
        <f ca="1">IF($C120-P$1&lt;År1,0,O119*(1-VLOOKUP($A120,[1]Hugst!$R$5:$W$9,MATCH(ROUNDUP((P$1)/10,0)*10,[1]Hugst!$R$4:$W$4,0))))</f>
        <v>148.85804425753349</v>
      </c>
      <c r="Q120" s="168">
        <f ca="1">IF($C120-Q$1&lt;År1,0,P119*(1-VLOOKUP($A120,[1]Hugst!$R$5:$W$9,MATCH(ROUNDUP((Q$1)/10,0)*10,[1]Hugst!$R$4:$W$4,0))))</f>
        <v>149.13641596223522</v>
      </c>
      <c r="R120" s="168">
        <f ca="1">IF($C120-R$1&lt;År1,0,Q119*(1-VLOOKUP($A120,[1]Hugst!$R$5:$W$9,MATCH(ROUNDUP((R$1)/10,0)*10,[1]Hugst!$R$4:$W$4,0))))</f>
        <v>149.41575975107867</v>
      </c>
      <c r="S120" s="168">
        <f ca="1">IF($C120-S$1&lt;År1,0,R119*(1-VLOOKUP($A120,[1]Hugst!$R$5:$W$9,MATCH(ROUNDUP((S$1)/10,0)*10,[1]Hugst!$R$4:$W$4,0))))</f>
        <v>149.69607901861895</v>
      </c>
      <c r="T120" s="168">
        <f ca="1">IF($C120-T$1&lt;År1,0,S119*(1-VLOOKUP($A120,[1]Hugst!$R$5:$W$9,MATCH(ROUNDUP((T$1)/10,0)*10,[1]Hugst!$R$4:$W$4,0))))</f>
        <v>149.9773771712525</v>
      </c>
      <c r="U120" s="168">
        <f ca="1">IF($C120-U$1&lt;År1,0,T119*(1-VLOOKUP($A120,[1]Hugst!$R$5:$W$9,MATCH(ROUNDUP((U$1)/10,0)*10,[1]Hugst!$R$4:$W$4,0))))</f>
        <v>150.25965762730286</v>
      </c>
      <c r="V120" s="168">
        <f ca="1">IF($C120-V$1&lt;År1,0,U119*(1-VLOOKUP($A120,[1]Hugst!$R$5:$W$9,MATCH(ROUNDUP((V$1)/10,0)*10,[1]Hugst!$R$4:$W$4,0))))</f>
        <v>150.54292381698414</v>
      </c>
      <c r="W120" s="168">
        <f ca="1">IF($C120-W$1&lt;År1,0,V119*(1-VLOOKUP($A120,[1]Hugst!$R$5:$W$9,MATCH(ROUNDUP((W$1)/10,0)*10,[1]Hugst!$R$4:$W$4,0))))</f>
        <v>151.0686251947638</v>
      </c>
      <c r="X120" s="168">
        <f ca="1">IF($C120-X$1&lt;År1,0,W119*(1-VLOOKUP($A120,[1]Hugst!$R$5:$W$9,MATCH(ROUNDUP((X$1)/10,0)*10,[1]Hugst!$R$4:$W$4,0))))</f>
        <v>151.59616234091359</v>
      </c>
      <c r="Y120" s="168">
        <f ca="1">IF($C120-Y$1&lt;År1,0,X119*(1-VLOOKUP($A120,[1]Hugst!$R$5:$W$9,MATCH(ROUNDUP((Y$1)/10,0)*10,[1]Hugst!$R$4:$W$4,0))))</f>
        <v>152.12554166601927</v>
      </c>
      <c r="Z120" s="168">
        <f ca="1">IF($C120-Z$1&lt;År1,0,Y119*(1-VLOOKUP($A120,[1]Hugst!$R$5:$W$9,MATCH(ROUNDUP((Z$1)/10,0)*10,[1]Hugst!$R$4:$W$4,0))))</f>
        <v>152.62437765563354</v>
      </c>
      <c r="AA120" s="168">
        <f ca="1">IF($C120-AA$1&lt;År1,0,Z119*(1-VLOOKUP($A120,[1]Hugst!$R$5:$W$9,MATCH(ROUNDUP((AA$1)/10,0)*10,[1]Hugst!$R$4:$W$4,0))))</f>
        <v>153.12484938204292</v>
      </c>
      <c r="AB120" s="168">
        <f ca="1">IF($C120-AB$1&lt;År1,0,AA119*(1-VLOOKUP($A120,[1]Hugst!$R$5:$W$9,MATCH(ROUNDUP((AB$1)/10,0)*10,[1]Hugst!$R$4:$W$4,0))))</f>
        <v>153.62696220898783</v>
      </c>
      <c r="AC120" s="168">
        <f ca="1">IF($C120-AC$1&lt;År1,0,AB119*(1-VLOOKUP($A120,[1]Hugst!$R$5:$W$9,MATCH(ROUNDUP((AC$1)/10,0)*10,[1]Hugst!$R$4:$W$4,0))))</f>
        <v>154.13072151782791</v>
      </c>
      <c r="AD120" s="168">
        <f ca="1">IF($C120-AD$1&lt;År1,0,AC119*(1-VLOOKUP($A120,[1]Hugst!$R$5:$W$9,MATCH(ROUNDUP((AD$1)/10,0)*10,[1]Hugst!$R$4:$W$4,0))))</f>
        <v>154.63613270754183</v>
      </c>
      <c r="AE120" s="168">
        <f ca="1">IF($C120-AE$1&lt;År1,0,AD119*(1-VLOOKUP($A120,[1]Hugst!$R$5:$W$9,MATCH(ROUNDUP((AE$1)/10,0)*10,[1]Hugst!$R$4:$W$4,0))))</f>
        <v>155.14320119482926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175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139.73128134721628</v>
      </c>
      <c r="E121" s="168">
        <f t="shared" ca="1" si="2"/>
        <v>4.1551111843155013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143.88639253153178</v>
      </c>
      <c r="G121" s="168">
        <f ca="1">IF($C121-G$1&lt;År1,0,F120*(1-VLOOKUP($A121,[1]Hugst!$R$5:$W$9,MATCH(ROUNDUP((G$1)/10,0)*10,[1]Hugst!$R$4:$W$4,0))))</f>
        <v>144.33597478202455</v>
      </c>
      <c r="H121" s="168">
        <f ca="1">IF($C121-H$1&lt;År1,0,G120*(1-VLOOKUP($A121,[1]Hugst!$R$5:$W$9,MATCH(ROUNDUP((H$1)/10,0)*10,[1]Hugst!$R$4:$W$4,0))))</f>
        <v>144.78771030814096</v>
      </c>
      <c r="I121" s="168">
        <f ca="1">IF($C121-I$1&lt;År1,0,H120*(1-VLOOKUP($A121,[1]Hugst!$R$5:$W$9,MATCH(ROUNDUP((I$1)/10,0)*10,[1]Hugst!$R$4:$W$4,0))))</f>
        <v>145.24161023273018</v>
      </c>
      <c r="J121" s="168">
        <f ca="1">IF($C121-J$1&lt;År1,0,I120*(1-VLOOKUP($A121,[1]Hugst!$R$5:$W$9,MATCH(ROUNDUP((J$1)/10,0)*10,[1]Hugst!$R$4:$W$4,0))))</f>
        <v>145.69768573566762</v>
      </c>
      <c r="K121" s="168">
        <f ca="1">IF($C121-K$1&lt;År1,0,J120*(1-VLOOKUP($A121,[1]Hugst!$R$5:$W$9,MATCH(ROUNDUP((K$1)/10,0)*10,[1]Hugst!$R$4:$W$4,0))))</f>
        <v>146.15594805418095</v>
      </c>
      <c r="L121" s="168">
        <f ca="1">IF($C121-L$1&lt;År1,0,K120*(1-VLOOKUP($A121,[1]Hugst!$R$5:$W$9,MATCH(ROUNDUP((L$1)/10,0)*10,[1]Hugst!$R$4:$W$4,0))))</f>
        <v>146.61640848310572</v>
      </c>
      <c r="M121" s="168">
        <f ca="1">IF($C121-M$1&lt;År1,0,L120*(1-VLOOKUP($A121,[1]Hugst!$R$5:$W$9,MATCH(ROUNDUP((M$1)/10,0)*10,[1]Hugst!$R$4:$W$4,0))))</f>
        <v>147.07907837520634</v>
      </c>
      <c r="N121" s="168">
        <f ca="1">IF($C121-N$1&lt;År1,0,M120*(1-VLOOKUP($A121,[1]Hugst!$R$5:$W$9,MATCH(ROUNDUP((N$1)/10,0)*10,[1]Hugst!$R$4:$W$4,0))))</f>
        <v>147.57745926221287</v>
      </c>
      <c r="O121" s="168">
        <f ca="1">IF($C121-O$1&lt;År1,0,N120*(1-VLOOKUP($A121,[1]Hugst!$R$5:$W$9,MATCH(ROUNDUP((O$1)/10,0)*10,[1]Hugst!$R$4:$W$4,0))))</f>
        <v>148.07797683012814</v>
      </c>
      <c r="P121" s="168">
        <f ca="1">IF($C121-P$1&lt;År1,0,O120*(1-VLOOKUP($A121,[1]Hugst!$R$5:$W$9,MATCH(ROUNDUP((P$1)/10,0)*10,[1]Hugst!$R$4:$W$4,0))))</f>
        <v>148.35399281841453</v>
      </c>
      <c r="Q121" s="168">
        <f ca="1">IF($C121-Q$1&lt;År1,0,P120*(1-VLOOKUP($A121,[1]Hugst!$R$5:$W$9,MATCH(ROUNDUP((Q$1)/10,0)*10,[1]Hugst!$R$4:$W$4,0))))</f>
        <v>148.63097266459826</v>
      </c>
      <c r="R121" s="168">
        <f ca="1">IF($C121-R$1&lt;År1,0,Q120*(1-VLOOKUP($A121,[1]Hugst!$R$5:$W$9,MATCH(ROUNDUP((R$1)/10,0)*10,[1]Hugst!$R$4:$W$4,0))))</f>
        <v>148.90891973449621</v>
      </c>
      <c r="S121" s="168">
        <f ca="1">IF($C121-S$1&lt;År1,0,R120*(1-VLOOKUP($A121,[1]Hugst!$R$5:$W$9,MATCH(ROUNDUP((S$1)/10,0)*10,[1]Hugst!$R$4:$W$4,0))))</f>
        <v>149.18783740569566</v>
      </c>
      <c r="T121" s="168">
        <f ca="1">IF($C121-T$1&lt;År1,0,S120*(1-VLOOKUP($A121,[1]Hugst!$R$5:$W$9,MATCH(ROUNDUP((T$1)/10,0)*10,[1]Hugst!$R$4:$W$4,0))))</f>
        <v>149.4677290675736</v>
      </c>
      <c r="U121" s="168">
        <f ca="1">IF($C121-U$1&lt;År1,0,T120*(1-VLOOKUP($A121,[1]Hugst!$R$5:$W$9,MATCH(ROUNDUP((U$1)/10,0)*10,[1]Hugst!$R$4:$W$4,0))))</f>
        <v>149.74859812133025</v>
      </c>
      <c r="V121" s="168">
        <f ca="1">IF($C121-V$1&lt;År1,0,U120*(1-VLOOKUP($A121,[1]Hugst!$R$5:$W$9,MATCH(ROUNDUP((V$1)/10,0)*10,[1]Hugst!$R$4:$W$4,0))))</f>
        <v>150.03044798007477</v>
      </c>
      <c r="W121" s="168">
        <f ca="1">IF($C121-W$1&lt;År1,0,V120*(1-VLOOKUP($A121,[1]Hugst!$R$5:$W$9,MATCH(ROUNDUP((W$1)/10,0)*10,[1]Hugst!$R$4:$W$4,0))))</f>
        <v>150.31328206878874</v>
      </c>
      <c r="X121" s="168">
        <f ca="1">IF($C121-X$1&lt;År1,0,W120*(1-VLOOKUP($A121,[1]Hugst!$R$5:$W$9,MATCH(ROUNDUP((X$1)/10,0)*10,[1]Hugst!$R$4:$W$4,0))))</f>
        <v>150.83818152921245</v>
      </c>
      <c r="Y121" s="168">
        <f ca="1">IF($C121-Y$1&lt;År1,0,X120*(1-VLOOKUP($A121,[1]Hugst!$R$5:$W$9,MATCH(ROUNDUP((Y$1)/10,0)*10,[1]Hugst!$R$4:$W$4,0))))</f>
        <v>151.36491395768169</v>
      </c>
      <c r="Z121" s="168">
        <f ca="1">IF($C121-Z$1&lt;År1,0,Y120*(1-VLOOKUP($A121,[1]Hugst!$R$5:$W$9,MATCH(ROUNDUP((Z$1)/10,0)*10,[1]Hugst!$R$4:$W$4,0))))</f>
        <v>151.8612557673622</v>
      </c>
      <c r="AA121" s="168">
        <f ca="1">IF($C121-AA$1&lt;År1,0,Z120*(1-VLOOKUP($A121,[1]Hugst!$R$5:$W$9,MATCH(ROUNDUP((AA$1)/10,0)*10,[1]Hugst!$R$4:$W$4,0))))</f>
        <v>152.35922513513009</v>
      </c>
      <c r="AB121" s="168">
        <f ca="1">IF($C121-AB$1&lt;År1,0,AA120*(1-VLOOKUP($A121,[1]Hugst!$R$5:$W$9,MATCH(ROUNDUP((AB$1)/10,0)*10,[1]Hugst!$R$4:$W$4,0))))</f>
        <v>152.85882739794701</v>
      </c>
      <c r="AC121" s="168">
        <f ca="1">IF($C121-AC$1&lt;År1,0,AB120*(1-VLOOKUP($A121,[1]Hugst!$R$5:$W$9,MATCH(ROUNDUP((AC$1)/10,0)*10,[1]Hugst!$R$4:$W$4,0))))</f>
        <v>153.36006791023493</v>
      </c>
      <c r="AD121" s="168">
        <f ca="1">IF($C121-AD$1&lt;År1,0,AC120*(1-VLOOKUP($A121,[1]Hugst!$R$5:$W$9,MATCH(ROUNDUP((AD$1)/10,0)*10,[1]Hugst!$R$4:$W$4,0))))</f>
        <v>153.86295204400454</v>
      </c>
      <c r="AE121" s="168">
        <f ca="1">IF($C121-AE$1&lt;År1,0,AD120*(1-VLOOKUP($A121,[1]Hugst!$R$5:$W$9,MATCH(ROUNDUP((AE$1)/10,0)*10,[1]Hugst!$R$4:$W$4,0))))</f>
        <v>154.367485188855</v>
      </c>
      <c r="AF121" s="168">
        <f ca="1">IF($C121-AF$1&lt;År1,0,AE120*(1-VLOOKUP($A121,[1]Hugst!$R$5:$W$9,MATCH(ROUNDUP((AF$1)/10,0)*10,[1]Hugst!$R$4:$W$4,0))))</f>
        <v>154.87367275207552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175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139.03262494047158</v>
      </c>
      <c r="E122" s="168">
        <f t="shared" ca="1" si="2"/>
        <v>4.4063275500943746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143.43895249056595</v>
      </c>
      <c r="G122" s="168">
        <f ca="1">IF($C122-G$1&lt;År1,0,F121*(1-VLOOKUP($A122,[1]Hugst!$R$5:$W$9,MATCH(ROUNDUP((G$1)/10,0)*10,[1]Hugst!$R$4:$W$4,0))))</f>
        <v>143.88639253153178</v>
      </c>
      <c r="H122" s="168">
        <f ca="1">IF($C122-H$1&lt;År1,0,G121*(1-VLOOKUP($A122,[1]Hugst!$R$5:$W$9,MATCH(ROUNDUP((H$1)/10,0)*10,[1]Hugst!$R$4:$W$4,0))))</f>
        <v>144.33597478202455</v>
      </c>
      <c r="I122" s="168">
        <f ca="1">IF($C122-I$1&lt;År1,0,H121*(1-VLOOKUP($A122,[1]Hugst!$R$5:$W$9,MATCH(ROUNDUP((I$1)/10,0)*10,[1]Hugst!$R$4:$W$4,0))))</f>
        <v>144.78771030814096</v>
      </c>
      <c r="J122" s="168">
        <f ca="1">IF($C122-J$1&lt;År1,0,I121*(1-VLOOKUP($A122,[1]Hugst!$R$5:$W$9,MATCH(ROUNDUP((J$1)/10,0)*10,[1]Hugst!$R$4:$W$4,0))))</f>
        <v>145.24161023273018</v>
      </c>
      <c r="K122" s="168">
        <f ca="1">IF($C122-K$1&lt;År1,0,J121*(1-VLOOKUP($A122,[1]Hugst!$R$5:$W$9,MATCH(ROUNDUP((K$1)/10,0)*10,[1]Hugst!$R$4:$W$4,0))))</f>
        <v>145.69768573566762</v>
      </c>
      <c r="L122" s="168">
        <f ca="1">IF($C122-L$1&lt;År1,0,K121*(1-VLOOKUP($A122,[1]Hugst!$R$5:$W$9,MATCH(ROUNDUP((L$1)/10,0)*10,[1]Hugst!$R$4:$W$4,0))))</f>
        <v>146.15594805418095</v>
      </c>
      <c r="M122" s="168">
        <f ca="1">IF($C122-M$1&lt;År1,0,L121*(1-VLOOKUP($A122,[1]Hugst!$R$5:$W$9,MATCH(ROUNDUP((M$1)/10,0)*10,[1]Hugst!$R$4:$W$4,0))))</f>
        <v>146.61640848310572</v>
      </c>
      <c r="N122" s="168">
        <f ca="1">IF($C122-N$1&lt;År1,0,M121*(1-VLOOKUP($A122,[1]Hugst!$R$5:$W$9,MATCH(ROUNDUP((N$1)/10,0)*10,[1]Hugst!$R$4:$W$4,0))))</f>
        <v>147.07907837520634</v>
      </c>
      <c r="O122" s="168">
        <f ca="1">IF($C122-O$1&lt;År1,0,N121*(1-VLOOKUP($A122,[1]Hugst!$R$5:$W$9,MATCH(ROUNDUP((O$1)/10,0)*10,[1]Hugst!$R$4:$W$4,0))))</f>
        <v>147.57745926221287</v>
      </c>
      <c r="P122" s="168">
        <f ca="1">IF($C122-P$1&lt;År1,0,O121*(1-VLOOKUP($A122,[1]Hugst!$R$5:$W$9,MATCH(ROUNDUP((P$1)/10,0)*10,[1]Hugst!$R$4:$W$4,0))))</f>
        <v>147.85209517055674</v>
      </c>
      <c r="Q122" s="168">
        <f ca="1">IF($C122-Q$1&lt;År1,0,P121*(1-VLOOKUP($A122,[1]Hugst!$R$5:$W$9,MATCH(ROUNDUP((Q$1)/10,0)*10,[1]Hugst!$R$4:$W$4,0))))</f>
        <v>148.12769011750507</v>
      </c>
      <c r="R122" s="168">
        <f ca="1">IF($C122-R$1&lt;År1,0,Q121*(1-VLOOKUP($A122,[1]Hugst!$R$5:$W$9,MATCH(ROUNDUP((R$1)/10,0)*10,[1]Hugst!$R$4:$W$4,0))))</f>
        <v>148.40424745205902</v>
      </c>
      <c r="S122" s="168">
        <f ca="1">IF($C122-S$1&lt;År1,0,R121*(1-VLOOKUP($A122,[1]Hugst!$R$5:$W$9,MATCH(ROUNDUP((S$1)/10,0)*10,[1]Hugst!$R$4:$W$4,0))))</f>
        <v>148.6817705349012</v>
      </c>
      <c r="T122" s="168">
        <f ca="1">IF($C122-T$1&lt;År1,0,S121*(1-VLOOKUP($A122,[1]Hugst!$R$5:$W$9,MATCH(ROUNDUP((T$1)/10,0)*10,[1]Hugst!$R$4:$W$4,0))))</f>
        <v>148.96026273846664</v>
      </c>
      <c r="U122" s="168">
        <f ca="1">IF($C122-U$1&lt;År1,0,T121*(1-VLOOKUP($A122,[1]Hugst!$R$5:$W$9,MATCH(ROUNDUP((U$1)/10,0)*10,[1]Hugst!$R$4:$W$4,0))))</f>
        <v>149.23972744696204</v>
      </c>
      <c r="V122" s="168">
        <f ca="1">IF($C122-V$1&lt;År1,0,U121*(1-VLOOKUP($A122,[1]Hugst!$R$5:$W$9,MATCH(ROUNDUP((V$1)/10,0)*10,[1]Hugst!$R$4:$W$4,0))))</f>
        <v>149.5201680563994</v>
      </c>
      <c r="W122" s="168">
        <f ca="1">IF($C122-W$1&lt;År1,0,V121*(1-VLOOKUP($A122,[1]Hugst!$R$5:$W$9,MATCH(ROUNDUP((W$1)/10,0)*10,[1]Hugst!$R$4:$W$4,0))))</f>
        <v>149.80158797468144</v>
      </c>
      <c r="X122" s="168">
        <f ca="1">IF($C122-X$1&lt;År1,0,W121*(1-VLOOKUP($A122,[1]Hugst!$R$5:$W$9,MATCH(ROUNDUP((X$1)/10,0)*10,[1]Hugst!$R$4:$W$4,0))))</f>
        <v>150.08399062156516</v>
      </c>
      <c r="Y122" s="168">
        <f ca="1">IF($C122-Y$1&lt;År1,0,X121*(1-VLOOKUP($A122,[1]Hugst!$R$5:$W$9,MATCH(ROUNDUP((Y$1)/10,0)*10,[1]Hugst!$R$4:$W$4,0))))</f>
        <v>150.60808938789668</v>
      </c>
      <c r="Z122" s="168">
        <f ca="1">IF($C122-Z$1&lt;År1,0,Y121*(1-VLOOKUP($A122,[1]Hugst!$R$5:$W$9,MATCH(ROUNDUP((Z$1)/10,0)*10,[1]Hugst!$R$4:$W$4,0))))</f>
        <v>151.10194948851793</v>
      </c>
      <c r="AA122" s="168">
        <f ca="1">IF($C122-AA$1&lt;År1,0,Z121*(1-VLOOKUP($A122,[1]Hugst!$R$5:$W$9,MATCH(ROUNDUP((AA$1)/10,0)*10,[1]Hugst!$R$4:$W$4,0))))</f>
        <v>151.59742900946125</v>
      </c>
      <c r="AB122" s="168">
        <f ca="1">IF($C122-AB$1&lt;År1,0,AA121*(1-VLOOKUP($A122,[1]Hugst!$R$5:$W$9,MATCH(ROUNDUP((AB$1)/10,0)*10,[1]Hugst!$R$4:$W$4,0))))</f>
        <v>152.09453326095465</v>
      </c>
      <c r="AC122" s="168">
        <f ca="1">IF($C122-AC$1&lt;År1,0,AB121*(1-VLOOKUP($A122,[1]Hugst!$R$5:$W$9,MATCH(ROUNDUP((AC$1)/10,0)*10,[1]Hugst!$R$4:$W$4,0))))</f>
        <v>152.59326757068786</v>
      </c>
      <c r="AD122" s="168">
        <f ca="1">IF($C122-AD$1&lt;År1,0,AC121*(1-VLOOKUP($A122,[1]Hugst!$R$5:$W$9,MATCH(ROUNDUP((AD$1)/10,0)*10,[1]Hugst!$R$4:$W$4,0))))</f>
        <v>153.09363728378071</v>
      </c>
      <c r="AE122" s="168">
        <f ca="1">IF($C122-AE$1&lt;År1,0,AD121*(1-VLOOKUP($A122,[1]Hugst!$R$5:$W$9,MATCH(ROUNDUP((AE$1)/10,0)*10,[1]Hugst!$R$4:$W$4,0))))</f>
        <v>153.59564776291114</v>
      </c>
      <c r="AF122" s="168">
        <f ca="1">IF($C122-AF$1&lt;År1,0,AE121*(1-VLOOKUP($A122,[1]Hugst!$R$5:$W$9,MATCH(ROUNDUP((AF$1)/10,0)*10,[1]Hugst!$R$4:$W$4,0))))</f>
        <v>154.09930438831503</v>
      </c>
      <c r="AG122" s="168">
        <f ca="1">IF($C122-AG$1&lt;År1,0,AF121*(1-VLOOKUP($A122,[1]Hugst!$R$5:$W$9,MATCH(ROUNDUP((AG$1)/10,0)*10,[1]Hugst!$R$4:$W$4,0))))</f>
        <v>154.60461255788758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175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138.33746181577226</v>
      </c>
      <c r="E123" s="168">
        <f t="shared" ca="1" si="2"/>
        <v>4.6561818337559089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142.99364364952817</v>
      </c>
      <c r="G123" s="168">
        <f ca="1">IF($C123-G$1&lt;År1,0,F122*(1-VLOOKUP($A123,[1]Hugst!$R$5:$W$9,MATCH(ROUNDUP((G$1)/10,0)*10,[1]Hugst!$R$4:$W$4,0))))</f>
        <v>143.43895249056595</v>
      </c>
      <c r="H123" s="168">
        <f ca="1">IF($C123-H$1&lt;År1,0,G122*(1-VLOOKUP($A123,[1]Hugst!$R$5:$W$9,MATCH(ROUNDUP((H$1)/10,0)*10,[1]Hugst!$R$4:$W$4,0))))</f>
        <v>143.88639253153178</v>
      </c>
      <c r="I123" s="168">
        <f ca="1">IF($C123-I$1&lt;År1,0,H122*(1-VLOOKUP($A123,[1]Hugst!$R$5:$W$9,MATCH(ROUNDUP((I$1)/10,0)*10,[1]Hugst!$R$4:$W$4,0))))</f>
        <v>144.33597478202455</v>
      </c>
      <c r="J123" s="168">
        <f ca="1">IF($C123-J$1&lt;År1,0,I122*(1-VLOOKUP($A123,[1]Hugst!$R$5:$W$9,MATCH(ROUNDUP((J$1)/10,0)*10,[1]Hugst!$R$4:$W$4,0))))</f>
        <v>144.78771030814096</v>
      </c>
      <c r="K123" s="168">
        <f ca="1">IF($C123-K$1&lt;År1,0,J122*(1-VLOOKUP($A123,[1]Hugst!$R$5:$W$9,MATCH(ROUNDUP((K$1)/10,0)*10,[1]Hugst!$R$4:$W$4,0))))</f>
        <v>145.24161023273018</v>
      </c>
      <c r="L123" s="168">
        <f ca="1">IF($C123-L$1&lt;År1,0,K122*(1-VLOOKUP($A123,[1]Hugst!$R$5:$W$9,MATCH(ROUNDUP((L$1)/10,0)*10,[1]Hugst!$R$4:$W$4,0))))</f>
        <v>145.69768573566762</v>
      </c>
      <c r="M123" s="168">
        <f ca="1">IF($C123-M$1&lt;År1,0,L122*(1-VLOOKUP($A123,[1]Hugst!$R$5:$W$9,MATCH(ROUNDUP((M$1)/10,0)*10,[1]Hugst!$R$4:$W$4,0))))</f>
        <v>146.15594805418095</v>
      </c>
      <c r="N123" s="168">
        <f ca="1">IF($C123-N$1&lt;År1,0,M122*(1-VLOOKUP($A123,[1]Hugst!$R$5:$W$9,MATCH(ROUNDUP((N$1)/10,0)*10,[1]Hugst!$R$4:$W$4,0))))</f>
        <v>146.61640848310572</v>
      </c>
      <c r="O123" s="168">
        <f ca="1">IF($C123-O$1&lt;År1,0,N122*(1-VLOOKUP($A123,[1]Hugst!$R$5:$W$9,MATCH(ROUNDUP((O$1)/10,0)*10,[1]Hugst!$R$4:$W$4,0))))</f>
        <v>147.07907837520634</v>
      </c>
      <c r="P123" s="168">
        <f ca="1">IF($C123-P$1&lt;År1,0,O122*(1-VLOOKUP($A123,[1]Hugst!$R$5:$W$9,MATCH(ROUNDUP((P$1)/10,0)*10,[1]Hugst!$R$4:$W$4,0))))</f>
        <v>147.35234110401626</v>
      </c>
      <c r="Q123" s="168">
        <f ca="1">IF($C123-Q$1&lt;År1,0,P122*(1-VLOOKUP($A123,[1]Hugst!$R$5:$W$9,MATCH(ROUNDUP((Q$1)/10,0)*10,[1]Hugst!$R$4:$W$4,0))))</f>
        <v>147.62655807622878</v>
      </c>
      <c r="R123" s="168">
        <f ca="1">IF($C123-R$1&lt;År1,0,Q122*(1-VLOOKUP($A123,[1]Hugst!$R$5:$W$9,MATCH(ROUNDUP((R$1)/10,0)*10,[1]Hugst!$R$4:$W$4,0))))</f>
        <v>147.90173262410548</v>
      </c>
      <c r="S123" s="168">
        <f ca="1">IF($C123-S$1&lt;År1,0,R122*(1-VLOOKUP($A123,[1]Hugst!$R$5:$W$9,MATCH(ROUNDUP((S$1)/10,0)*10,[1]Hugst!$R$4:$W$4,0))))</f>
        <v>148.17786809153893</v>
      </c>
      <c r="T123" s="168">
        <f ca="1">IF($C123-T$1&lt;År1,0,S122*(1-VLOOKUP($A123,[1]Hugst!$R$5:$W$9,MATCH(ROUNDUP((T$1)/10,0)*10,[1]Hugst!$R$4:$W$4,0))))</f>
        <v>148.45496783408524</v>
      </c>
      <c r="U123" s="168">
        <f ca="1">IF($C123-U$1&lt;År1,0,T122*(1-VLOOKUP($A123,[1]Hugst!$R$5:$W$9,MATCH(ROUNDUP((U$1)/10,0)*10,[1]Hugst!$R$4:$W$4,0))))</f>
        <v>148.73303521903509</v>
      </c>
      <c r="V123" s="168">
        <f ca="1">IF($C123-V$1&lt;År1,0,U122*(1-VLOOKUP($A123,[1]Hugst!$R$5:$W$9,MATCH(ROUNDUP((V$1)/10,0)*10,[1]Hugst!$R$4:$W$4,0))))</f>
        <v>149.01207362543278</v>
      </c>
      <c r="W123" s="168">
        <f ca="1">IF($C123-W$1&lt;År1,0,V122*(1-VLOOKUP($A123,[1]Hugst!$R$5:$W$9,MATCH(ROUNDUP((W$1)/10,0)*10,[1]Hugst!$R$4:$W$4,0))))</f>
        <v>149.29208644410997</v>
      </c>
      <c r="X123" s="168">
        <f ca="1">IF($C123-X$1&lt;År1,0,W122*(1-VLOOKUP($A123,[1]Hugst!$R$5:$W$9,MATCH(ROUNDUP((X$1)/10,0)*10,[1]Hugst!$R$4:$W$4,0))))</f>
        <v>149.5730770777709</v>
      </c>
      <c r="Y123" s="168">
        <f ca="1">IF($C123-Y$1&lt;År1,0,X122*(1-VLOOKUP($A123,[1]Hugst!$R$5:$W$9,MATCH(ROUNDUP((Y$1)/10,0)*10,[1]Hugst!$R$4:$W$4,0))))</f>
        <v>149.85504894095598</v>
      </c>
      <c r="Z123" s="168">
        <f ca="1">IF($C123-Z$1&lt;År1,0,Y122*(1-VLOOKUP($A123,[1]Hugst!$R$5:$W$9,MATCH(ROUNDUP((Z$1)/10,0)*10,[1]Hugst!$R$4:$W$4,0))))</f>
        <v>150.34643974107871</v>
      </c>
      <c r="AA123" s="168">
        <f ca="1">IF($C123-AA$1&lt;År1,0,Z122*(1-VLOOKUP($A123,[1]Hugst!$R$5:$W$9,MATCH(ROUNDUP((AA$1)/10,0)*10,[1]Hugst!$R$4:$W$4,0))))</f>
        <v>150.83944186440652</v>
      </c>
      <c r="AB123" s="168">
        <f ca="1">IF($C123-AB$1&lt;År1,0,AA122*(1-VLOOKUP($A123,[1]Hugst!$R$5:$W$9,MATCH(ROUNDUP((AB$1)/10,0)*10,[1]Hugst!$R$4:$W$4,0))))</f>
        <v>151.33406059465668</v>
      </c>
      <c r="AC123" s="168">
        <f ca="1">IF($C123-AC$1&lt;År1,0,AB122*(1-VLOOKUP($A123,[1]Hugst!$R$5:$W$9,MATCH(ROUNDUP((AC$1)/10,0)*10,[1]Hugst!$R$4:$W$4,0))))</f>
        <v>151.8303012328318</v>
      </c>
      <c r="AD123" s="168">
        <f ca="1">IF($C123-AD$1&lt;År1,0,AC122*(1-VLOOKUP($A123,[1]Hugst!$R$5:$W$9,MATCH(ROUNDUP((AD$1)/10,0)*10,[1]Hugst!$R$4:$W$4,0))))</f>
        <v>152.3281690973659</v>
      </c>
      <c r="AE123" s="168">
        <f ca="1">IF($C123-AE$1&lt;År1,0,AD122*(1-VLOOKUP($A123,[1]Hugst!$R$5:$W$9,MATCH(ROUNDUP((AE$1)/10,0)*10,[1]Hugst!$R$4:$W$4,0))))</f>
        <v>152.82766952409278</v>
      </c>
      <c r="AF123" s="168">
        <f ca="1">IF($C123-AF$1&lt;År1,0,AE122*(1-VLOOKUP($A123,[1]Hugst!$R$5:$W$9,MATCH(ROUNDUP((AF$1)/10,0)*10,[1]Hugst!$R$4:$W$4,0))))</f>
        <v>153.32880786637386</v>
      </c>
      <c r="AG123" s="168">
        <f ca="1">IF($C123-AG$1&lt;År1,0,AF122*(1-VLOOKUP($A123,[1]Hugst!$R$5:$W$9,MATCH(ROUNDUP((AG$1)/10,0)*10,[1]Hugst!$R$4:$W$4,0))))</f>
        <v>153.83158949509803</v>
      </c>
      <c r="AH123" s="168">
        <f ca="1">IF($C123-AH$1&lt;År1,0,AG122*(1-VLOOKUP($A123,[1]Hugst!$R$5:$W$9,MATCH(ROUNDUP((AH$1)/10,0)*10,[1]Hugst!$R$4:$W$4,0))))</f>
        <v>154.33601979878276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175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137.64577450669822</v>
      </c>
      <c r="E124" s="168">
        <f t="shared" ca="1" si="2"/>
        <v>4.9046805482785203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142.55045505497674</v>
      </c>
      <c r="G124" s="168">
        <f ca="1">IF($C124-G$1&lt;År1,0,F123*(1-VLOOKUP($A124,[1]Hugst!$R$5:$W$9,MATCH(ROUNDUP((G$1)/10,0)*10,[1]Hugst!$R$4:$W$4,0))))</f>
        <v>142.99364364952817</v>
      </c>
      <c r="H124" s="168">
        <f ca="1">IF($C124-H$1&lt;År1,0,G123*(1-VLOOKUP($A124,[1]Hugst!$R$5:$W$9,MATCH(ROUNDUP((H$1)/10,0)*10,[1]Hugst!$R$4:$W$4,0))))</f>
        <v>143.43895249056595</v>
      </c>
      <c r="I124" s="168">
        <f ca="1">IF($C124-I$1&lt;År1,0,H123*(1-VLOOKUP($A124,[1]Hugst!$R$5:$W$9,MATCH(ROUNDUP((I$1)/10,0)*10,[1]Hugst!$R$4:$W$4,0))))</f>
        <v>143.88639253153178</v>
      </c>
      <c r="J124" s="168">
        <f ca="1">IF($C124-J$1&lt;År1,0,I123*(1-VLOOKUP($A124,[1]Hugst!$R$5:$W$9,MATCH(ROUNDUP((J$1)/10,0)*10,[1]Hugst!$R$4:$W$4,0))))</f>
        <v>144.33597478202455</v>
      </c>
      <c r="K124" s="168">
        <f ca="1">IF($C124-K$1&lt;År1,0,J123*(1-VLOOKUP($A124,[1]Hugst!$R$5:$W$9,MATCH(ROUNDUP((K$1)/10,0)*10,[1]Hugst!$R$4:$W$4,0))))</f>
        <v>144.78771030814096</v>
      </c>
      <c r="L124" s="168">
        <f ca="1">IF($C124-L$1&lt;År1,0,K123*(1-VLOOKUP($A124,[1]Hugst!$R$5:$W$9,MATCH(ROUNDUP((L$1)/10,0)*10,[1]Hugst!$R$4:$W$4,0))))</f>
        <v>145.24161023273018</v>
      </c>
      <c r="M124" s="168">
        <f ca="1">IF($C124-M$1&lt;År1,0,L123*(1-VLOOKUP($A124,[1]Hugst!$R$5:$W$9,MATCH(ROUNDUP((M$1)/10,0)*10,[1]Hugst!$R$4:$W$4,0))))</f>
        <v>145.69768573566762</v>
      </c>
      <c r="N124" s="168">
        <f ca="1">IF($C124-N$1&lt;År1,0,M123*(1-VLOOKUP($A124,[1]Hugst!$R$5:$W$9,MATCH(ROUNDUP((N$1)/10,0)*10,[1]Hugst!$R$4:$W$4,0))))</f>
        <v>146.15594805418095</v>
      </c>
      <c r="O124" s="168">
        <f ca="1">IF($C124-O$1&lt;År1,0,N123*(1-VLOOKUP($A124,[1]Hugst!$R$5:$W$9,MATCH(ROUNDUP((O$1)/10,0)*10,[1]Hugst!$R$4:$W$4,0))))</f>
        <v>146.61640848310572</v>
      </c>
      <c r="P124" s="168">
        <f ca="1">IF($C124-P$1&lt;År1,0,O123*(1-VLOOKUP($A124,[1]Hugst!$R$5:$W$9,MATCH(ROUNDUP((P$1)/10,0)*10,[1]Hugst!$R$4:$W$4,0))))</f>
        <v>146.85472045904075</v>
      </c>
      <c r="Q124" s="168">
        <f ca="1">IF($C124-Q$1&lt;År1,0,P123*(1-VLOOKUP($A124,[1]Hugst!$R$5:$W$9,MATCH(ROUNDUP((Q$1)/10,0)*10,[1]Hugst!$R$4:$W$4,0))))</f>
        <v>147.12756634639996</v>
      </c>
      <c r="R124" s="168">
        <f ca="1">IF($C124-R$1&lt;År1,0,Q123*(1-VLOOKUP($A124,[1]Hugst!$R$5:$W$9,MATCH(ROUNDUP((R$1)/10,0)*10,[1]Hugst!$R$4:$W$4,0))))</f>
        <v>147.40136502153621</v>
      </c>
      <c r="S124" s="168">
        <f ca="1">IF($C124-S$1&lt;År1,0,R123*(1-VLOOKUP($A124,[1]Hugst!$R$5:$W$9,MATCH(ROUNDUP((S$1)/10,0)*10,[1]Hugst!$R$4:$W$4,0))))</f>
        <v>147.67611981162801</v>
      </c>
      <c r="T124" s="168">
        <f ca="1">IF($C124-T$1&lt;År1,0,S123*(1-VLOOKUP($A124,[1]Hugst!$R$5:$W$9,MATCH(ROUNDUP((T$1)/10,0)*10,[1]Hugst!$R$4:$W$4,0))))</f>
        <v>147.95183405546709</v>
      </c>
      <c r="U124" s="168">
        <f ca="1">IF($C124-U$1&lt;År1,0,T123*(1-VLOOKUP($A124,[1]Hugst!$R$5:$W$9,MATCH(ROUNDUP((U$1)/10,0)*10,[1]Hugst!$R$4:$W$4,0))))</f>
        <v>148.22851110349086</v>
      </c>
      <c r="V124" s="168">
        <f ca="1">IF($C124-V$1&lt;År1,0,U123*(1-VLOOKUP($A124,[1]Hugst!$R$5:$W$9,MATCH(ROUNDUP((V$1)/10,0)*10,[1]Hugst!$R$4:$W$4,0))))</f>
        <v>148.50615431785351</v>
      </c>
      <c r="W124" s="168">
        <f ca="1">IF($C124-W$1&lt;År1,0,V123*(1-VLOOKUP($A124,[1]Hugst!$R$5:$W$9,MATCH(ROUNDUP((W$1)/10,0)*10,[1]Hugst!$R$4:$W$4,0))))</f>
        <v>148.78476707244482</v>
      </c>
      <c r="X124" s="168">
        <f ca="1">IF($C124-X$1&lt;År1,0,W123*(1-VLOOKUP($A124,[1]Hugst!$R$5:$W$9,MATCH(ROUNDUP((X$1)/10,0)*10,[1]Hugst!$R$4:$W$4,0))))</f>
        <v>149.06435275292404</v>
      </c>
      <c r="Y124" s="168">
        <f ca="1">IF($C124-Y$1&lt;År1,0,X123*(1-VLOOKUP($A124,[1]Hugst!$R$5:$W$9,MATCH(ROUNDUP((Y$1)/10,0)*10,[1]Hugst!$R$4:$W$4,0))))</f>
        <v>149.3449147568048</v>
      </c>
      <c r="Z124" s="168">
        <f ca="1">IF($C124-Z$1&lt;År1,0,Y123*(1-VLOOKUP($A124,[1]Hugst!$R$5:$W$9,MATCH(ROUNDUP((Z$1)/10,0)*10,[1]Hugst!$R$4:$W$4,0))))</f>
        <v>149.59470754237211</v>
      </c>
      <c r="AA124" s="168">
        <f ca="1">IF($C124-AA$1&lt;År1,0,Z123*(1-VLOOKUP($A124,[1]Hugst!$R$5:$W$9,MATCH(ROUNDUP((AA$1)/10,0)*10,[1]Hugst!$R$4:$W$4,0))))</f>
        <v>150.08524465508785</v>
      </c>
      <c r="AB124" s="168">
        <f ca="1">IF($C124-AB$1&lt;År1,0,AA123*(1-VLOOKUP($A124,[1]Hugst!$R$5:$W$9,MATCH(ROUNDUP((AB$1)/10,0)*10,[1]Hugst!$R$4:$W$4,0))))</f>
        <v>150.57739029167598</v>
      </c>
      <c r="AC124" s="168">
        <f ca="1">IF($C124-AC$1&lt;År1,0,AB123*(1-VLOOKUP($A124,[1]Hugst!$R$5:$W$9,MATCH(ROUNDUP((AC$1)/10,0)*10,[1]Hugst!$R$4:$W$4,0))))</f>
        <v>151.07114972667443</v>
      </c>
      <c r="AD124" s="168">
        <f ca="1">IF($C124-AD$1&lt;År1,0,AC123*(1-VLOOKUP($A124,[1]Hugst!$R$5:$W$9,MATCH(ROUNDUP((AD$1)/10,0)*10,[1]Hugst!$R$4:$W$4,0))))</f>
        <v>151.56652825187646</v>
      </c>
      <c r="AE124" s="168">
        <f ca="1">IF($C124-AE$1&lt;År1,0,AD123*(1-VLOOKUP($A124,[1]Hugst!$R$5:$W$9,MATCH(ROUNDUP((AE$1)/10,0)*10,[1]Hugst!$R$4:$W$4,0))))</f>
        <v>152.0635311764764</v>
      </c>
      <c r="AF124" s="168">
        <f ca="1">IF($C124-AF$1&lt;År1,0,AE123*(1-VLOOKUP($A124,[1]Hugst!$R$5:$W$9,MATCH(ROUNDUP((AF$1)/10,0)*10,[1]Hugst!$R$4:$W$4,0))))</f>
        <v>152.5621638270382</v>
      </c>
      <c r="AG124" s="168">
        <f ca="1">IF($C124-AG$1&lt;År1,0,AF123*(1-VLOOKUP($A124,[1]Hugst!$R$5:$W$9,MATCH(ROUNDUP((AG$1)/10,0)*10,[1]Hugst!$R$4:$W$4,0))))</f>
        <v>153.06243154762296</v>
      </c>
      <c r="AH124" s="168">
        <f ca="1">IF($C124-AH$1&lt;År1,0,AG123*(1-VLOOKUP($A124,[1]Hugst!$R$5:$W$9,MATCH(ROUNDUP((AH$1)/10,0)*10,[1]Hugst!$R$4:$W$4,0))))</f>
        <v>153.56433969978875</v>
      </c>
      <c r="AI124" s="168">
        <f ca="1">IF($C124-AI$1&lt;År1,0,AH123*(1-VLOOKUP($A124,[1]Hugst!$R$5:$W$9,MATCH(ROUNDUP((AI$1)/10,0)*10,[1]Hugst!$R$4:$W$4,0))))</f>
        <v>154.06789366269166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175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136.95754563416267</v>
      </c>
      <c r="E125" s="168">
        <f ca="1">IF(C125=2020,SUM(G125:AJ125),SUM(F124:AJ124)-SUM(G125:AJ125))</f>
        <v>5.0213660596036789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141.97891169376635</v>
      </c>
      <c r="G125" s="168">
        <f ca="1">IF($C125-G$1&lt;År1,0,F124*(1-VLOOKUP($A125,[1]Hugst!$R$5:$W$9,MATCH(ROUNDUP((G$1)/10,0)*10,[1]Hugst!$R$4:$W$4,0))))</f>
        <v>142.55045505497674</v>
      </c>
      <c r="H125" s="168">
        <f ca="1">IF($C125-H$1&lt;År1,0,G124*(1-VLOOKUP($A125,[1]Hugst!$R$5:$W$9,MATCH(ROUNDUP((H$1)/10,0)*10,[1]Hugst!$R$4:$W$4,0))))</f>
        <v>142.99364364952817</v>
      </c>
      <c r="I125" s="168">
        <f ca="1">IF($C125-I$1&lt;År1,0,H124*(1-VLOOKUP($A125,[1]Hugst!$R$5:$W$9,MATCH(ROUNDUP((I$1)/10,0)*10,[1]Hugst!$R$4:$W$4,0))))</f>
        <v>143.43895249056595</v>
      </c>
      <c r="J125" s="168">
        <f ca="1">IF($C125-J$1&lt;År1,0,I124*(1-VLOOKUP($A125,[1]Hugst!$R$5:$W$9,MATCH(ROUNDUP((J$1)/10,0)*10,[1]Hugst!$R$4:$W$4,0))))</f>
        <v>143.88639253153178</v>
      </c>
      <c r="K125" s="168">
        <f ca="1">IF($C125-K$1&lt;År1,0,J124*(1-VLOOKUP($A125,[1]Hugst!$R$5:$W$9,MATCH(ROUNDUP((K$1)/10,0)*10,[1]Hugst!$R$4:$W$4,0))))</f>
        <v>144.33597478202455</v>
      </c>
      <c r="L125" s="168">
        <f ca="1">IF($C125-L$1&lt;År1,0,K124*(1-VLOOKUP($A125,[1]Hugst!$R$5:$W$9,MATCH(ROUNDUP((L$1)/10,0)*10,[1]Hugst!$R$4:$W$4,0))))</f>
        <v>144.78771030814096</v>
      </c>
      <c r="M125" s="168">
        <f ca="1">IF($C125-M$1&lt;År1,0,L124*(1-VLOOKUP($A125,[1]Hugst!$R$5:$W$9,MATCH(ROUNDUP((M$1)/10,0)*10,[1]Hugst!$R$4:$W$4,0))))</f>
        <v>145.24161023273018</v>
      </c>
      <c r="N125" s="168">
        <f ca="1">IF($C125-N$1&lt;År1,0,M124*(1-VLOOKUP($A125,[1]Hugst!$R$5:$W$9,MATCH(ROUNDUP((N$1)/10,0)*10,[1]Hugst!$R$4:$W$4,0))))</f>
        <v>145.69768573566762</v>
      </c>
      <c r="O125" s="168">
        <f ca="1">IF($C125-O$1&lt;År1,0,N124*(1-VLOOKUP($A125,[1]Hugst!$R$5:$W$9,MATCH(ROUNDUP((O$1)/10,0)*10,[1]Hugst!$R$4:$W$4,0))))</f>
        <v>146.15594805418095</v>
      </c>
      <c r="P125" s="168">
        <f ca="1">IF($C125-P$1&lt;År1,0,O124*(1-VLOOKUP($A125,[1]Hugst!$R$5:$W$9,MATCH(ROUNDUP((P$1)/10,0)*10,[1]Hugst!$R$4:$W$4,0))))</f>
        <v>146.39275633457217</v>
      </c>
      <c r="Q125" s="168">
        <f ca="1">IF($C125-Q$1&lt;År1,0,P124*(1-VLOOKUP($A125,[1]Hugst!$R$5:$W$9,MATCH(ROUNDUP((Q$1)/10,0)*10,[1]Hugst!$R$4:$W$4,0))))</f>
        <v>146.63070478376423</v>
      </c>
      <c r="R125" s="168">
        <f ca="1">IF($C125-R$1&lt;År1,0,Q124*(1-VLOOKUP($A125,[1]Hugst!$R$5:$W$9,MATCH(ROUNDUP((R$1)/10,0)*10,[1]Hugst!$R$4:$W$4,0))))</f>
        <v>146.90313446553256</v>
      </c>
      <c r="S125" s="168">
        <f ca="1">IF($C125-S$1&lt;År1,0,R124*(1-VLOOKUP($A125,[1]Hugst!$R$5:$W$9,MATCH(ROUNDUP((S$1)/10,0)*10,[1]Hugst!$R$4:$W$4,0))))</f>
        <v>147.17651548167285</v>
      </c>
      <c r="T125" s="168">
        <f ca="1">IF($C125-T$1&lt;År1,0,S124*(1-VLOOKUP($A125,[1]Hugst!$R$5:$W$9,MATCH(ROUNDUP((T$1)/10,0)*10,[1]Hugst!$R$4:$W$4,0))))</f>
        <v>147.45085115428824</v>
      </c>
      <c r="U125" s="168">
        <f ca="1">IF($C125-U$1&lt;År1,0,T124*(1-VLOOKUP($A125,[1]Hugst!$R$5:$W$9,MATCH(ROUNDUP((U$1)/10,0)*10,[1]Hugst!$R$4:$W$4,0))))</f>
        <v>147.7261448170774</v>
      </c>
      <c r="V125" s="168">
        <f ca="1">IF($C125-V$1&lt;År1,0,U124*(1-VLOOKUP($A125,[1]Hugst!$R$5:$W$9,MATCH(ROUNDUP((V$1)/10,0)*10,[1]Hugst!$R$4:$W$4,0))))</f>
        <v>148.00239981536689</v>
      </c>
      <c r="W125" s="168">
        <f ca="1">IF($C125-W$1&lt;År1,0,V124*(1-VLOOKUP($A125,[1]Hugst!$R$5:$W$9,MATCH(ROUNDUP((W$1)/10,0)*10,[1]Hugst!$R$4:$W$4,0))))</f>
        <v>148.2796195061822</v>
      </c>
      <c r="X125" s="168">
        <f ca="1">IF($C125-X$1&lt;År1,0,W124*(1-VLOOKUP($A125,[1]Hugst!$R$5:$W$9,MATCH(ROUNDUP((X$1)/10,0)*10,[1]Hugst!$R$4:$W$4,0))))</f>
        <v>148.55780725826651</v>
      </c>
      <c r="Y125" s="168">
        <f ca="1">IF($C125-Y$1&lt;År1,0,X124*(1-VLOOKUP($A125,[1]Hugst!$R$5:$W$9,MATCH(ROUNDUP((Y$1)/10,0)*10,[1]Hugst!$R$4:$W$4,0))))</f>
        <v>148.8369664521145</v>
      </c>
      <c r="Z125" s="168">
        <f ca="1">IF($C125-Z$1&lt;År1,0,Y124*(1-VLOOKUP($A125,[1]Hugst!$R$5:$W$9,MATCH(ROUNDUP((Z$1)/10,0)*10,[1]Hugst!$R$4:$W$4,0))))</f>
        <v>149.08545960828661</v>
      </c>
      <c r="AA125" s="168">
        <f ca="1">IF($C125-AA$1&lt;År1,0,Z124*(1-VLOOKUP($A125,[1]Hugst!$R$5:$W$9,MATCH(ROUNDUP((AA$1)/10,0)*10,[1]Hugst!$R$4:$W$4,0))))</f>
        <v>149.33481843181119</v>
      </c>
      <c r="AB125" s="168">
        <f ca="1">IF($C125-AB$1&lt;År1,0,AA124*(1-VLOOKUP($A125,[1]Hugst!$R$5:$W$9,MATCH(ROUNDUP((AB$1)/10,0)*10,[1]Hugst!$R$4:$W$4,0))))</f>
        <v>149.82450334022096</v>
      </c>
      <c r="AC125" s="168">
        <f ca="1">IF($C125-AC$1&lt;År1,0,AB124*(1-VLOOKUP($A125,[1]Hugst!$R$5:$W$9,MATCH(ROUNDUP((AC$1)/10,0)*10,[1]Hugst!$R$4:$W$4,0))))</f>
        <v>150.31579397803367</v>
      </c>
      <c r="AD125" s="168">
        <f ca="1">IF($C125-AD$1&lt;År1,0,AC124*(1-VLOOKUP($A125,[1]Hugst!$R$5:$W$9,MATCH(ROUNDUP((AD$1)/10,0)*10,[1]Hugst!$R$4:$W$4,0))))</f>
        <v>150.80869561062386</v>
      </c>
      <c r="AE125" s="168">
        <f ca="1">IF($C125-AE$1&lt;År1,0,AD124*(1-VLOOKUP($A125,[1]Hugst!$R$5:$W$9,MATCH(ROUNDUP((AE$1)/10,0)*10,[1]Hugst!$R$4:$W$4,0))))</f>
        <v>151.30321352059141</v>
      </c>
      <c r="AF125" s="168">
        <f ca="1">IF($C125-AF$1&lt;År1,0,AE124*(1-VLOOKUP($A125,[1]Hugst!$R$5:$W$9,MATCH(ROUNDUP((AF$1)/10,0)*10,[1]Hugst!$R$4:$W$4,0))))</f>
        <v>151.79935300790709</v>
      </c>
      <c r="AG125" s="168">
        <f ca="1">IF($C125-AG$1&lt;År1,0,AF124*(1-VLOOKUP($A125,[1]Hugst!$R$5:$W$9,MATCH(ROUNDUP((AG$1)/10,0)*10,[1]Hugst!$R$4:$W$4,0))))</f>
        <v>152.29711938988106</v>
      </c>
      <c r="AH125" s="168">
        <f ca="1">IF($C125-AH$1&lt;År1,0,AG124*(1-VLOOKUP($A125,[1]Hugst!$R$5:$W$9,MATCH(ROUNDUP((AH$1)/10,0)*10,[1]Hugst!$R$4:$W$4,0))))</f>
        <v>152.79651800129022</v>
      </c>
      <c r="AI125" s="168">
        <f ca="1">IF($C125-AI$1&lt;År1,0,AH124*(1-VLOOKUP($A125,[1]Hugst!$R$5:$W$9,MATCH(ROUNDUP((AI$1)/10,0)*10,[1]Hugst!$R$4:$W$4,0))))</f>
        <v>153.29755419437808</v>
      </c>
      <c r="AJ125" s="168">
        <f ca="1">IF($C125-AJ$1&lt;År1,0,AI124*(1-VLOOKUP($A125,[1]Hugst!$R$5:$W$9,MATCH(ROUNDUP((AJ$1)/10,0)*10,[1]Hugst!$R$4:$W$4,0))))</f>
        <v>153.93079935053419</v>
      </c>
      <c r="AL125" s="168">
        <f ca="1">SUM(F125:AJ125)</f>
        <v>4581.8180130355095</v>
      </c>
    </row>
    <row r="126" spans="1:38" x14ac:dyDescent="0.25">
      <c r="A126" s="168" t="s">
        <v>176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543.83065202883154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543.83065202883154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176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541.11149876867421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541.11149876867421</v>
      </c>
      <c r="G127" s="168">
        <f ca="1">IF($C127-G$1&lt;År1,0,F126*(1-VLOOKUP($A127,[1]Hugst!$R$5:$W$9,MATCH(ROUNDUP((G$1)/10,0)*10,[1]Hugst!$R$4:$W$4,0))))</f>
        <v>543.83065202883154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501704.42250590294</v>
      </c>
    </row>
    <row r="128" spans="1:38" x14ac:dyDescent="0.25">
      <c r="A128" s="168" t="s">
        <v>176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538.40594127484655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538.40594127484655</v>
      </c>
      <c r="G128" s="168">
        <f ca="1">IF($C128-G$1&lt;År1,0,F127*(1-VLOOKUP($A128,[1]Hugst!$R$5:$W$9,MATCH(ROUNDUP((G$1)/10,0)*10,[1]Hugst!$R$4:$W$4,0))))</f>
        <v>541.11149876867421</v>
      </c>
      <c r="H128" s="168">
        <f ca="1">IF($C128-H$1&lt;År1,0,G127*(1-VLOOKUP($A128,[1]Hugst!$R$5:$W$9,MATCH(ROUNDUP((H$1)/10,0)*10,[1]Hugst!$R$4:$W$4,0))))</f>
        <v>543.83065202883154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176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535.71391156846948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535.71391156846948</v>
      </c>
      <c r="G129" s="168">
        <f ca="1">IF($C129-G$1&lt;År1,0,F128*(1-VLOOKUP($A129,[1]Hugst!$R$5:$W$9,MATCH(ROUNDUP((G$1)/10,0)*10,[1]Hugst!$R$4:$W$4,0))))</f>
        <v>538.40594127484655</v>
      </c>
      <c r="H129" s="168">
        <f ca="1">IF($C129-H$1&lt;År1,0,G128*(1-VLOOKUP($A129,[1]Hugst!$R$5:$W$9,MATCH(ROUNDUP((H$1)/10,0)*10,[1]Hugst!$R$4:$W$4,0))))</f>
        <v>541.11149876867421</v>
      </c>
      <c r="I129" s="168">
        <f ca="1">IF($C129-I$1&lt;År1,0,H128*(1-VLOOKUP($A129,[1]Hugst!$R$5:$W$9,MATCH(ROUNDUP((I$1)/10,0)*10,[1]Hugst!$R$4:$W$4,0))))</f>
        <v>543.83065202883154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176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533.03534201062575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533.03534201062575</v>
      </c>
      <c r="G130" s="168">
        <f ca="1">IF($C130-G$1&lt;År1,0,F129*(1-VLOOKUP($A130,[1]Hugst!$R$5:$W$9,MATCH(ROUNDUP((G$1)/10,0)*10,[1]Hugst!$R$4:$W$4,0))))</f>
        <v>535.71391156846948</v>
      </c>
      <c r="H130" s="168">
        <f ca="1">IF($C130-H$1&lt;År1,0,G129*(1-VLOOKUP($A130,[1]Hugst!$R$5:$W$9,MATCH(ROUNDUP((H$1)/10,0)*10,[1]Hugst!$R$4:$W$4,0))))</f>
        <v>538.40594127484655</v>
      </c>
      <c r="I130" s="168">
        <f ca="1">IF($C130-I$1&lt;År1,0,H129*(1-VLOOKUP($A130,[1]Hugst!$R$5:$W$9,MATCH(ROUNDUP((I$1)/10,0)*10,[1]Hugst!$R$4:$W$4,0))))</f>
        <v>541.11149876867421</v>
      </c>
      <c r="J130" s="168">
        <f ca="1">IF($C130-J$1&lt;År1,0,I129*(1-VLOOKUP($A130,[1]Hugst!$R$5:$W$9,MATCH(ROUNDUP((J$1)/10,0)*10,[1]Hugst!$R$4:$W$4,0))))</f>
        <v>543.83065202883154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176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530.37016530057008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530.37016530057008</v>
      </c>
      <c r="G131" s="168">
        <f ca="1">IF($C131-G$1&lt;År1,0,F130*(1-VLOOKUP($A131,[1]Hugst!$R$5:$W$9,MATCH(ROUNDUP((G$1)/10,0)*10,[1]Hugst!$R$4:$W$4,0))))</f>
        <v>533.03534201062575</v>
      </c>
      <c r="H131" s="168">
        <f ca="1">IF($C131-H$1&lt;År1,0,G130*(1-VLOOKUP($A131,[1]Hugst!$R$5:$W$9,MATCH(ROUNDUP((H$1)/10,0)*10,[1]Hugst!$R$4:$W$4,0))))</f>
        <v>535.71391156846948</v>
      </c>
      <c r="I131" s="168">
        <f ca="1">IF($C131-I$1&lt;År1,0,H130*(1-VLOOKUP($A131,[1]Hugst!$R$5:$W$9,MATCH(ROUNDUP((I$1)/10,0)*10,[1]Hugst!$R$4:$W$4,0))))</f>
        <v>538.40594127484655</v>
      </c>
      <c r="J131" s="168">
        <f ca="1">IF($C131-J$1&lt;År1,0,I130*(1-VLOOKUP($A131,[1]Hugst!$R$5:$W$9,MATCH(ROUNDUP((J$1)/10,0)*10,[1]Hugst!$R$4:$W$4,0))))</f>
        <v>541.11149876867421</v>
      </c>
      <c r="K131" s="168">
        <f ca="1">IF($C131-K$1&lt;År1,0,J130*(1-VLOOKUP($A131,[1]Hugst!$R$5:$W$9,MATCH(ROUNDUP((K$1)/10,0)*10,[1]Hugst!$R$4:$W$4,0))))</f>
        <v>543.83065202883154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176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527.71831447407021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527.71831447407021</v>
      </c>
      <c r="G132" s="168">
        <f ca="1">IF($C132-G$1&lt;År1,0,F131*(1-VLOOKUP($A132,[1]Hugst!$R$5:$W$9,MATCH(ROUNDUP((G$1)/10,0)*10,[1]Hugst!$R$4:$W$4,0))))</f>
        <v>530.37016530057008</v>
      </c>
      <c r="H132" s="168">
        <f ca="1">IF($C132-H$1&lt;År1,0,G131*(1-VLOOKUP($A132,[1]Hugst!$R$5:$W$9,MATCH(ROUNDUP((H$1)/10,0)*10,[1]Hugst!$R$4:$W$4,0))))</f>
        <v>533.03534201062575</v>
      </c>
      <c r="I132" s="168">
        <f ca="1">IF($C132-I$1&lt;År1,0,H131*(1-VLOOKUP($A132,[1]Hugst!$R$5:$W$9,MATCH(ROUNDUP((I$1)/10,0)*10,[1]Hugst!$R$4:$W$4,0))))</f>
        <v>535.71391156846948</v>
      </c>
      <c r="J132" s="168">
        <f ca="1">IF($C132-J$1&lt;År1,0,I131*(1-VLOOKUP($A132,[1]Hugst!$R$5:$W$9,MATCH(ROUNDUP((J$1)/10,0)*10,[1]Hugst!$R$4:$W$4,0))))</f>
        <v>538.40594127484655</v>
      </c>
      <c r="K132" s="168">
        <f ca="1">IF($C132-K$1&lt;År1,0,J131*(1-VLOOKUP($A132,[1]Hugst!$R$5:$W$9,MATCH(ROUNDUP((K$1)/10,0)*10,[1]Hugst!$R$4:$W$4,0))))</f>
        <v>541.11149876867421</v>
      </c>
      <c r="L132" s="168">
        <f ca="1">IF($C132-L$1&lt;År1,0,K131*(1-VLOOKUP($A132,[1]Hugst!$R$5:$W$9,MATCH(ROUNDUP((L$1)/10,0)*10,[1]Hugst!$R$4:$W$4,0))))</f>
        <v>543.83065202883154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176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525.07972290170437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525.07972290170437</v>
      </c>
      <c r="G133" s="168">
        <f ca="1">IF($C133-G$1&lt;År1,0,F132*(1-VLOOKUP($A133,[1]Hugst!$R$5:$W$9,MATCH(ROUNDUP((G$1)/10,0)*10,[1]Hugst!$R$4:$W$4,0))))</f>
        <v>527.71831447407021</v>
      </c>
      <c r="H133" s="168">
        <f ca="1">IF($C133-H$1&lt;År1,0,G132*(1-VLOOKUP($A133,[1]Hugst!$R$5:$W$9,MATCH(ROUNDUP((H$1)/10,0)*10,[1]Hugst!$R$4:$W$4,0))))</f>
        <v>530.37016530057008</v>
      </c>
      <c r="I133" s="168">
        <f ca="1">IF($C133-I$1&lt;År1,0,H132*(1-VLOOKUP($A133,[1]Hugst!$R$5:$W$9,MATCH(ROUNDUP((I$1)/10,0)*10,[1]Hugst!$R$4:$W$4,0))))</f>
        <v>533.03534201062575</v>
      </c>
      <c r="J133" s="168">
        <f ca="1">IF($C133-J$1&lt;År1,0,I132*(1-VLOOKUP($A133,[1]Hugst!$R$5:$W$9,MATCH(ROUNDUP((J$1)/10,0)*10,[1]Hugst!$R$4:$W$4,0))))</f>
        <v>535.71391156846948</v>
      </c>
      <c r="K133" s="168">
        <f ca="1">IF($C133-K$1&lt;År1,0,J132*(1-VLOOKUP($A133,[1]Hugst!$R$5:$W$9,MATCH(ROUNDUP((K$1)/10,0)*10,[1]Hugst!$R$4:$W$4,0))))</f>
        <v>538.40594127484655</v>
      </c>
      <c r="L133" s="168">
        <f ca="1">IF($C133-L$1&lt;År1,0,K132*(1-VLOOKUP($A133,[1]Hugst!$R$5:$W$9,MATCH(ROUNDUP((L$1)/10,0)*10,[1]Hugst!$R$4:$W$4,0))))</f>
        <v>541.11149876867421</v>
      </c>
      <c r="M133" s="168">
        <f ca="1">IF($C133-M$1&lt;År1,0,L132*(1-VLOOKUP($A133,[1]Hugst!$R$5:$W$9,MATCH(ROUNDUP((M$1)/10,0)*10,[1]Hugst!$R$4:$W$4,0))))</f>
        <v>543.83065202883154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176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522.45432428720233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522.45432428720233</v>
      </c>
      <c r="G134" s="168">
        <f ca="1">IF($C134-G$1&lt;År1,0,F133*(1-VLOOKUP($A134,[1]Hugst!$R$5:$W$9,MATCH(ROUNDUP((G$1)/10,0)*10,[1]Hugst!$R$4:$W$4,0))))</f>
        <v>525.07972290170437</v>
      </c>
      <c r="H134" s="168">
        <f ca="1">IF($C134-H$1&lt;År1,0,G133*(1-VLOOKUP($A134,[1]Hugst!$R$5:$W$9,MATCH(ROUNDUP((H$1)/10,0)*10,[1]Hugst!$R$4:$W$4,0))))</f>
        <v>527.71831447407021</v>
      </c>
      <c r="I134" s="168">
        <f ca="1">IF($C134-I$1&lt;År1,0,H133*(1-VLOOKUP($A134,[1]Hugst!$R$5:$W$9,MATCH(ROUNDUP((I$1)/10,0)*10,[1]Hugst!$R$4:$W$4,0))))</f>
        <v>530.37016530057008</v>
      </c>
      <c r="J134" s="168">
        <f ca="1">IF($C134-J$1&lt;År1,0,I133*(1-VLOOKUP($A134,[1]Hugst!$R$5:$W$9,MATCH(ROUNDUP((J$1)/10,0)*10,[1]Hugst!$R$4:$W$4,0))))</f>
        <v>533.03534201062575</v>
      </c>
      <c r="K134" s="168">
        <f ca="1">IF($C134-K$1&lt;År1,0,J133*(1-VLOOKUP($A134,[1]Hugst!$R$5:$W$9,MATCH(ROUNDUP((K$1)/10,0)*10,[1]Hugst!$R$4:$W$4,0))))</f>
        <v>535.71391156846948</v>
      </c>
      <c r="L134" s="168">
        <f ca="1">IF($C134-L$1&lt;År1,0,K133*(1-VLOOKUP($A134,[1]Hugst!$R$5:$W$9,MATCH(ROUNDUP((L$1)/10,0)*10,[1]Hugst!$R$4:$W$4,0))))</f>
        <v>538.40594127484655</v>
      </c>
      <c r="M134" s="168">
        <f ca="1">IF($C134-M$1&lt;År1,0,L133*(1-VLOOKUP($A134,[1]Hugst!$R$5:$W$9,MATCH(ROUNDUP((M$1)/10,0)*10,[1]Hugst!$R$4:$W$4,0))))</f>
        <v>541.11149876867421</v>
      </c>
      <c r="N134" s="168">
        <f ca="1">IF($C134-N$1&lt;År1,0,M133*(1-VLOOKUP($A134,[1]Hugst!$R$5:$W$9,MATCH(ROUNDUP((N$1)/10,0)*10,[1]Hugst!$R$4:$W$4,0))))</f>
        <v>543.83065202883154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176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519.84205266574281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519.84205266574281</v>
      </c>
      <c r="G135" s="168">
        <f ca="1">IF($C135-G$1&lt;År1,0,F134*(1-VLOOKUP($A135,[1]Hugst!$R$5:$W$9,MATCH(ROUNDUP((G$1)/10,0)*10,[1]Hugst!$R$4:$W$4,0))))</f>
        <v>522.45432428720233</v>
      </c>
      <c r="H135" s="168">
        <f ca="1">IF($C135-H$1&lt;År1,0,G134*(1-VLOOKUP($A135,[1]Hugst!$R$5:$W$9,MATCH(ROUNDUP((H$1)/10,0)*10,[1]Hugst!$R$4:$W$4,0))))</f>
        <v>525.07972290170437</v>
      </c>
      <c r="I135" s="168">
        <f ca="1">IF($C135-I$1&lt;År1,0,H134*(1-VLOOKUP($A135,[1]Hugst!$R$5:$W$9,MATCH(ROUNDUP((I$1)/10,0)*10,[1]Hugst!$R$4:$W$4,0))))</f>
        <v>527.71831447407021</v>
      </c>
      <c r="J135" s="168">
        <f ca="1">IF($C135-J$1&lt;År1,0,I134*(1-VLOOKUP($A135,[1]Hugst!$R$5:$W$9,MATCH(ROUNDUP((J$1)/10,0)*10,[1]Hugst!$R$4:$W$4,0))))</f>
        <v>530.37016530057008</v>
      </c>
      <c r="K135" s="168">
        <f ca="1">IF($C135-K$1&lt;År1,0,J134*(1-VLOOKUP($A135,[1]Hugst!$R$5:$W$9,MATCH(ROUNDUP((K$1)/10,0)*10,[1]Hugst!$R$4:$W$4,0))))</f>
        <v>533.03534201062575</v>
      </c>
      <c r="L135" s="168">
        <f ca="1">IF($C135-L$1&lt;År1,0,K134*(1-VLOOKUP($A135,[1]Hugst!$R$5:$W$9,MATCH(ROUNDUP((L$1)/10,0)*10,[1]Hugst!$R$4:$W$4,0))))</f>
        <v>535.71391156846948</v>
      </c>
      <c r="M135" s="168">
        <f ca="1">IF($C135-M$1&lt;År1,0,L134*(1-VLOOKUP($A135,[1]Hugst!$R$5:$W$9,MATCH(ROUNDUP((M$1)/10,0)*10,[1]Hugst!$R$4:$W$4,0))))</f>
        <v>538.40594127484655</v>
      </c>
      <c r="N135" s="168">
        <f ca="1">IF($C135-N$1&lt;År1,0,M134*(1-VLOOKUP($A135,[1]Hugst!$R$5:$W$9,MATCH(ROUNDUP((N$1)/10,0)*10,[1]Hugst!$R$4:$W$4,0))))</f>
        <v>541.11149876867421</v>
      </c>
      <c r="O135" s="168">
        <f ca="1">IF($C135-O$1&lt;År1,0,N134*(1-VLOOKUP($A135,[1]Hugst!$R$5:$W$9,MATCH(ROUNDUP((O$1)/10,0)*10,[1]Hugst!$R$4:$W$4,0))))</f>
        <v>543.83065202883154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176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517.24284240244015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517.24284240244015</v>
      </c>
      <c r="G136" s="168">
        <f ca="1">IF($C136-G$1&lt;År1,0,F135*(1-VLOOKUP($A136,[1]Hugst!$R$5:$W$9,MATCH(ROUNDUP((G$1)/10,0)*10,[1]Hugst!$R$4:$W$4,0))))</f>
        <v>519.84205266574281</v>
      </c>
      <c r="H136" s="168">
        <f ca="1">IF($C136-H$1&lt;År1,0,G135*(1-VLOOKUP($A136,[1]Hugst!$R$5:$W$9,MATCH(ROUNDUP((H$1)/10,0)*10,[1]Hugst!$R$4:$W$4,0))))</f>
        <v>522.45432428720233</v>
      </c>
      <c r="I136" s="168">
        <f ca="1">IF($C136-I$1&lt;År1,0,H135*(1-VLOOKUP($A136,[1]Hugst!$R$5:$W$9,MATCH(ROUNDUP((I$1)/10,0)*10,[1]Hugst!$R$4:$W$4,0))))</f>
        <v>525.07972290170437</v>
      </c>
      <c r="J136" s="168">
        <f ca="1">IF($C136-J$1&lt;År1,0,I135*(1-VLOOKUP($A136,[1]Hugst!$R$5:$W$9,MATCH(ROUNDUP((J$1)/10,0)*10,[1]Hugst!$R$4:$W$4,0))))</f>
        <v>527.71831447407021</v>
      </c>
      <c r="K136" s="168">
        <f ca="1">IF($C136-K$1&lt;År1,0,J135*(1-VLOOKUP($A136,[1]Hugst!$R$5:$W$9,MATCH(ROUNDUP((K$1)/10,0)*10,[1]Hugst!$R$4:$W$4,0))))</f>
        <v>530.37016530057008</v>
      </c>
      <c r="L136" s="168">
        <f ca="1">IF($C136-L$1&lt;År1,0,K135*(1-VLOOKUP($A136,[1]Hugst!$R$5:$W$9,MATCH(ROUNDUP((L$1)/10,0)*10,[1]Hugst!$R$4:$W$4,0))))</f>
        <v>533.03534201062575</v>
      </c>
      <c r="M136" s="168">
        <f ca="1">IF($C136-M$1&lt;År1,0,L135*(1-VLOOKUP($A136,[1]Hugst!$R$5:$W$9,MATCH(ROUNDUP((M$1)/10,0)*10,[1]Hugst!$R$4:$W$4,0))))</f>
        <v>535.71391156846948</v>
      </c>
      <c r="N136" s="168">
        <f ca="1">IF($C136-N$1&lt;År1,0,M135*(1-VLOOKUP($A136,[1]Hugst!$R$5:$W$9,MATCH(ROUNDUP((N$1)/10,0)*10,[1]Hugst!$R$4:$W$4,0))))</f>
        <v>538.40594127484655</v>
      </c>
      <c r="O136" s="168">
        <f ca="1">IF($C136-O$1&lt;År1,0,N135*(1-VLOOKUP($A136,[1]Hugst!$R$5:$W$9,MATCH(ROUNDUP((O$1)/10,0)*10,[1]Hugst!$R$4:$W$4,0))))</f>
        <v>541.11149876867421</v>
      </c>
      <c r="P136" s="168">
        <f ca="1">IF($C136-P$1&lt;År1,0,O135*(1-VLOOKUP($A136,[1]Hugst!$R$5:$W$9,MATCH(ROUNDUP((P$1)/10,0)*10,[1]Hugst!$R$4:$W$4,0))))</f>
        <v>543.83065202883154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176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514.65662819039426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514.65662819039426</v>
      </c>
      <c r="G137" s="168">
        <f ca="1">IF($C137-G$1&lt;År1,0,F136*(1-VLOOKUP($A137,[1]Hugst!$R$5:$W$9,MATCH(ROUNDUP((G$1)/10,0)*10,[1]Hugst!$R$4:$W$4,0))))</f>
        <v>517.24284240244015</v>
      </c>
      <c r="H137" s="168">
        <f ca="1">IF($C137-H$1&lt;År1,0,G136*(1-VLOOKUP($A137,[1]Hugst!$R$5:$W$9,MATCH(ROUNDUP((H$1)/10,0)*10,[1]Hugst!$R$4:$W$4,0))))</f>
        <v>519.84205266574281</v>
      </c>
      <c r="I137" s="168">
        <f ca="1">IF($C137-I$1&lt;År1,0,H136*(1-VLOOKUP($A137,[1]Hugst!$R$5:$W$9,MATCH(ROUNDUP((I$1)/10,0)*10,[1]Hugst!$R$4:$W$4,0))))</f>
        <v>522.45432428720233</v>
      </c>
      <c r="J137" s="168">
        <f ca="1">IF($C137-J$1&lt;År1,0,I136*(1-VLOOKUP($A137,[1]Hugst!$R$5:$W$9,MATCH(ROUNDUP((J$1)/10,0)*10,[1]Hugst!$R$4:$W$4,0))))</f>
        <v>525.07972290170437</v>
      </c>
      <c r="K137" s="168">
        <f ca="1">IF($C137-K$1&lt;År1,0,J136*(1-VLOOKUP($A137,[1]Hugst!$R$5:$W$9,MATCH(ROUNDUP((K$1)/10,0)*10,[1]Hugst!$R$4:$W$4,0))))</f>
        <v>527.71831447407021</v>
      </c>
      <c r="L137" s="168">
        <f ca="1">IF($C137-L$1&lt;År1,0,K136*(1-VLOOKUP($A137,[1]Hugst!$R$5:$W$9,MATCH(ROUNDUP((L$1)/10,0)*10,[1]Hugst!$R$4:$W$4,0))))</f>
        <v>530.37016530057008</v>
      </c>
      <c r="M137" s="168">
        <f ca="1">IF($C137-M$1&lt;År1,0,L136*(1-VLOOKUP($A137,[1]Hugst!$R$5:$W$9,MATCH(ROUNDUP((M$1)/10,0)*10,[1]Hugst!$R$4:$W$4,0))))</f>
        <v>533.03534201062575</v>
      </c>
      <c r="N137" s="168">
        <f ca="1">IF($C137-N$1&lt;År1,0,M136*(1-VLOOKUP($A137,[1]Hugst!$R$5:$W$9,MATCH(ROUNDUP((N$1)/10,0)*10,[1]Hugst!$R$4:$W$4,0))))</f>
        <v>535.71391156846948</v>
      </c>
      <c r="O137" s="168">
        <f ca="1">IF($C137-O$1&lt;År1,0,N136*(1-VLOOKUP($A137,[1]Hugst!$R$5:$W$9,MATCH(ROUNDUP((O$1)/10,0)*10,[1]Hugst!$R$4:$W$4,0))))</f>
        <v>538.40594127484655</v>
      </c>
      <c r="P137" s="168">
        <f ca="1">IF($C137-P$1&lt;År1,0,O136*(1-VLOOKUP($A137,[1]Hugst!$R$5:$W$9,MATCH(ROUNDUP((P$1)/10,0)*10,[1]Hugst!$R$4:$W$4,0))))</f>
        <v>541.11149876867421</v>
      </c>
      <c r="Q137" s="168">
        <f ca="1">IF($C137-Q$1&lt;År1,0,P136*(1-VLOOKUP($A137,[1]Hugst!$R$5:$W$9,MATCH(ROUNDUP((Q$1)/10,0)*10,[1]Hugst!$R$4:$W$4,0))))</f>
        <v>543.83065202883154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176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512.08334504946833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512.08334504946833</v>
      </c>
      <c r="G138" s="168">
        <f ca="1">IF($C138-G$1&lt;År1,0,F137*(1-VLOOKUP($A138,[1]Hugst!$R$5:$W$9,MATCH(ROUNDUP((G$1)/10,0)*10,[1]Hugst!$R$4:$W$4,0))))</f>
        <v>514.65662819039426</v>
      </c>
      <c r="H138" s="168">
        <f ca="1">IF($C138-H$1&lt;År1,0,G137*(1-VLOOKUP($A138,[1]Hugst!$R$5:$W$9,MATCH(ROUNDUP((H$1)/10,0)*10,[1]Hugst!$R$4:$W$4,0))))</f>
        <v>517.24284240244015</v>
      </c>
      <c r="I138" s="168">
        <f ca="1">IF($C138-I$1&lt;År1,0,H137*(1-VLOOKUP($A138,[1]Hugst!$R$5:$W$9,MATCH(ROUNDUP((I$1)/10,0)*10,[1]Hugst!$R$4:$W$4,0))))</f>
        <v>519.84205266574281</v>
      </c>
      <c r="J138" s="168">
        <f ca="1">IF($C138-J$1&lt;År1,0,I137*(1-VLOOKUP($A138,[1]Hugst!$R$5:$W$9,MATCH(ROUNDUP((J$1)/10,0)*10,[1]Hugst!$R$4:$W$4,0))))</f>
        <v>522.45432428720233</v>
      </c>
      <c r="K138" s="168">
        <f ca="1">IF($C138-K$1&lt;År1,0,J137*(1-VLOOKUP($A138,[1]Hugst!$R$5:$W$9,MATCH(ROUNDUP((K$1)/10,0)*10,[1]Hugst!$R$4:$W$4,0))))</f>
        <v>525.07972290170437</v>
      </c>
      <c r="L138" s="168">
        <f ca="1">IF($C138-L$1&lt;År1,0,K137*(1-VLOOKUP($A138,[1]Hugst!$R$5:$W$9,MATCH(ROUNDUP((L$1)/10,0)*10,[1]Hugst!$R$4:$W$4,0))))</f>
        <v>527.71831447407021</v>
      </c>
      <c r="M138" s="168">
        <f ca="1">IF($C138-M$1&lt;År1,0,L137*(1-VLOOKUP($A138,[1]Hugst!$R$5:$W$9,MATCH(ROUNDUP((M$1)/10,0)*10,[1]Hugst!$R$4:$W$4,0))))</f>
        <v>530.37016530057008</v>
      </c>
      <c r="N138" s="168">
        <f ca="1">IF($C138-N$1&lt;År1,0,M137*(1-VLOOKUP($A138,[1]Hugst!$R$5:$W$9,MATCH(ROUNDUP((N$1)/10,0)*10,[1]Hugst!$R$4:$W$4,0))))</f>
        <v>533.03534201062575</v>
      </c>
      <c r="O138" s="168">
        <f ca="1">IF($C138-O$1&lt;År1,0,N137*(1-VLOOKUP($A138,[1]Hugst!$R$5:$W$9,MATCH(ROUNDUP((O$1)/10,0)*10,[1]Hugst!$R$4:$W$4,0))))</f>
        <v>535.71391156846948</v>
      </c>
      <c r="P138" s="168">
        <f ca="1">IF($C138-P$1&lt;År1,0,O137*(1-VLOOKUP($A138,[1]Hugst!$R$5:$W$9,MATCH(ROUNDUP((P$1)/10,0)*10,[1]Hugst!$R$4:$W$4,0))))</f>
        <v>538.40594127484655</v>
      </c>
      <c r="Q138" s="168">
        <f ca="1">IF($C138-Q$1&lt;År1,0,P137*(1-VLOOKUP($A138,[1]Hugst!$R$5:$W$9,MATCH(ROUNDUP((Q$1)/10,0)*10,[1]Hugst!$R$4:$W$4,0))))</f>
        <v>541.11149876867421</v>
      </c>
      <c r="R138" s="168">
        <f ca="1">IF($C138-R$1&lt;År1,0,Q137*(1-VLOOKUP($A138,[1]Hugst!$R$5:$W$9,MATCH(ROUNDUP((R$1)/10,0)*10,[1]Hugst!$R$4:$W$4,0))))</f>
        <v>543.83065202883154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176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509.5229283242079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509.5229283242079</v>
      </c>
      <c r="G139" s="168">
        <f ca="1">IF($C139-G$1&lt;År1,0,F138*(1-VLOOKUP($A139,[1]Hugst!$R$5:$W$9,MATCH(ROUNDUP((G$1)/10,0)*10,[1]Hugst!$R$4:$W$4,0))))</f>
        <v>512.08334504946833</v>
      </c>
      <c r="H139" s="168">
        <f ca="1">IF($C139-H$1&lt;År1,0,G138*(1-VLOOKUP($A139,[1]Hugst!$R$5:$W$9,MATCH(ROUNDUP((H$1)/10,0)*10,[1]Hugst!$R$4:$W$4,0))))</f>
        <v>514.65662819039426</v>
      </c>
      <c r="I139" s="168">
        <f ca="1">IF($C139-I$1&lt;År1,0,H138*(1-VLOOKUP($A139,[1]Hugst!$R$5:$W$9,MATCH(ROUNDUP((I$1)/10,0)*10,[1]Hugst!$R$4:$W$4,0))))</f>
        <v>517.24284240244015</v>
      </c>
      <c r="J139" s="168">
        <f ca="1">IF($C139-J$1&lt;År1,0,I138*(1-VLOOKUP($A139,[1]Hugst!$R$5:$W$9,MATCH(ROUNDUP((J$1)/10,0)*10,[1]Hugst!$R$4:$W$4,0))))</f>
        <v>519.84205266574281</v>
      </c>
      <c r="K139" s="168">
        <f ca="1">IF($C139-K$1&lt;År1,0,J138*(1-VLOOKUP($A139,[1]Hugst!$R$5:$W$9,MATCH(ROUNDUP((K$1)/10,0)*10,[1]Hugst!$R$4:$W$4,0))))</f>
        <v>522.45432428720233</v>
      </c>
      <c r="L139" s="168">
        <f ca="1">IF($C139-L$1&lt;År1,0,K138*(1-VLOOKUP($A139,[1]Hugst!$R$5:$W$9,MATCH(ROUNDUP((L$1)/10,0)*10,[1]Hugst!$R$4:$W$4,0))))</f>
        <v>525.07972290170437</v>
      </c>
      <c r="M139" s="168">
        <f ca="1">IF($C139-M$1&lt;År1,0,L138*(1-VLOOKUP($A139,[1]Hugst!$R$5:$W$9,MATCH(ROUNDUP((M$1)/10,0)*10,[1]Hugst!$R$4:$W$4,0))))</f>
        <v>527.71831447407021</v>
      </c>
      <c r="N139" s="168">
        <f ca="1">IF($C139-N$1&lt;År1,0,M138*(1-VLOOKUP($A139,[1]Hugst!$R$5:$W$9,MATCH(ROUNDUP((N$1)/10,0)*10,[1]Hugst!$R$4:$W$4,0))))</f>
        <v>530.37016530057008</v>
      </c>
      <c r="O139" s="168">
        <f ca="1">IF($C139-O$1&lt;År1,0,N138*(1-VLOOKUP($A139,[1]Hugst!$R$5:$W$9,MATCH(ROUNDUP((O$1)/10,0)*10,[1]Hugst!$R$4:$W$4,0))))</f>
        <v>533.03534201062575</v>
      </c>
      <c r="P139" s="168">
        <f ca="1">IF($C139-P$1&lt;År1,0,O138*(1-VLOOKUP($A139,[1]Hugst!$R$5:$W$9,MATCH(ROUNDUP((P$1)/10,0)*10,[1]Hugst!$R$4:$W$4,0))))</f>
        <v>535.71391156846948</v>
      </c>
      <c r="Q139" s="168">
        <f ca="1">IF($C139-Q$1&lt;År1,0,P138*(1-VLOOKUP($A139,[1]Hugst!$R$5:$W$9,MATCH(ROUNDUP((Q$1)/10,0)*10,[1]Hugst!$R$4:$W$4,0))))</f>
        <v>538.40594127484655</v>
      </c>
      <c r="R139" s="168">
        <f ca="1">IF($C139-R$1&lt;År1,0,Q138*(1-VLOOKUP($A139,[1]Hugst!$R$5:$W$9,MATCH(ROUNDUP((R$1)/10,0)*10,[1]Hugst!$R$4:$W$4,0))))</f>
        <v>541.11149876867421</v>
      </c>
      <c r="S139" s="168">
        <f ca="1">IF($C139-S$1&lt;År1,0,R138*(1-VLOOKUP($A139,[1]Hugst!$R$5:$W$9,MATCH(ROUNDUP((S$1)/10,0)*10,[1]Hugst!$R$4:$W$4,0))))</f>
        <v>543.83065202883154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176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506.97531368258933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506.97531368258933</v>
      </c>
      <c r="G140" s="168">
        <f ca="1">IF($C140-G$1&lt;År1,0,F139*(1-VLOOKUP($A140,[1]Hugst!$R$5:$W$9,MATCH(ROUNDUP((G$1)/10,0)*10,[1]Hugst!$R$4:$W$4,0))))</f>
        <v>509.5229283242079</v>
      </c>
      <c r="H140" s="168">
        <f ca="1">IF($C140-H$1&lt;År1,0,G139*(1-VLOOKUP($A140,[1]Hugst!$R$5:$W$9,MATCH(ROUNDUP((H$1)/10,0)*10,[1]Hugst!$R$4:$W$4,0))))</f>
        <v>512.08334504946833</v>
      </c>
      <c r="I140" s="168">
        <f ca="1">IF($C140-I$1&lt;År1,0,H139*(1-VLOOKUP($A140,[1]Hugst!$R$5:$W$9,MATCH(ROUNDUP((I$1)/10,0)*10,[1]Hugst!$R$4:$W$4,0))))</f>
        <v>514.65662819039426</v>
      </c>
      <c r="J140" s="168">
        <f ca="1">IF($C140-J$1&lt;År1,0,I139*(1-VLOOKUP($A140,[1]Hugst!$R$5:$W$9,MATCH(ROUNDUP((J$1)/10,0)*10,[1]Hugst!$R$4:$W$4,0))))</f>
        <v>517.24284240244015</v>
      </c>
      <c r="K140" s="168">
        <f ca="1">IF($C140-K$1&lt;År1,0,J139*(1-VLOOKUP($A140,[1]Hugst!$R$5:$W$9,MATCH(ROUNDUP((K$1)/10,0)*10,[1]Hugst!$R$4:$W$4,0))))</f>
        <v>519.84205266574281</v>
      </c>
      <c r="L140" s="168">
        <f ca="1">IF($C140-L$1&lt;År1,0,K139*(1-VLOOKUP($A140,[1]Hugst!$R$5:$W$9,MATCH(ROUNDUP((L$1)/10,0)*10,[1]Hugst!$R$4:$W$4,0))))</f>
        <v>522.45432428720233</v>
      </c>
      <c r="M140" s="168">
        <f ca="1">IF($C140-M$1&lt;År1,0,L139*(1-VLOOKUP($A140,[1]Hugst!$R$5:$W$9,MATCH(ROUNDUP((M$1)/10,0)*10,[1]Hugst!$R$4:$W$4,0))))</f>
        <v>525.07972290170437</v>
      </c>
      <c r="N140" s="168">
        <f ca="1">IF($C140-N$1&lt;År1,0,M139*(1-VLOOKUP($A140,[1]Hugst!$R$5:$W$9,MATCH(ROUNDUP((N$1)/10,0)*10,[1]Hugst!$R$4:$W$4,0))))</f>
        <v>527.71831447407021</v>
      </c>
      <c r="O140" s="168">
        <f ca="1">IF($C140-O$1&lt;År1,0,N139*(1-VLOOKUP($A140,[1]Hugst!$R$5:$W$9,MATCH(ROUNDUP((O$1)/10,0)*10,[1]Hugst!$R$4:$W$4,0))))</f>
        <v>530.37016530057008</v>
      </c>
      <c r="P140" s="168">
        <f ca="1">IF($C140-P$1&lt;År1,0,O139*(1-VLOOKUP($A140,[1]Hugst!$R$5:$W$9,MATCH(ROUNDUP((P$1)/10,0)*10,[1]Hugst!$R$4:$W$4,0))))</f>
        <v>533.03534201062575</v>
      </c>
      <c r="Q140" s="168">
        <f ca="1">IF($C140-Q$1&lt;År1,0,P139*(1-VLOOKUP($A140,[1]Hugst!$R$5:$W$9,MATCH(ROUNDUP((Q$1)/10,0)*10,[1]Hugst!$R$4:$W$4,0))))</f>
        <v>535.71391156846948</v>
      </c>
      <c r="R140" s="168">
        <f ca="1">IF($C140-R$1&lt;År1,0,Q139*(1-VLOOKUP($A140,[1]Hugst!$R$5:$W$9,MATCH(ROUNDUP((R$1)/10,0)*10,[1]Hugst!$R$4:$W$4,0))))</f>
        <v>538.40594127484655</v>
      </c>
      <c r="S140" s="168">
        <f ca="1">IF($C140-S$1&lt;År1,0,R139*(1-VLOOKUP($A140,[1]Hugst!$R$5:$W$9,MATCH(ROUNDUP((S$1)/10,0)*10,[1]Hugst!$R$4:$W$4,0))))</f>
        <v>541.11149876867421</v>
      </c>
      <c r="T140" s="168">
        <f ca="1">IF($C140-T$1&lt;År1,0,S139*(1-VLOOKUP($A140,[1]Hugst!$R$5:$W$9,MATCH(ROUNDUP((T$1)/10,0)*10,[1]Hugst!$R$4:$W$4,0))))</f>
        <v>543.83065202883154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176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504.44043711418635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504.44043711418635</v>
      </c>
      <c r="G141" s="168">
        <f ca="1">IF($C141-G$1&lt;År1,0,F140*(1-VLOOKUP($A141,[1]Hugst!$R$5:$W$9,MATCH(ROUNDUP((G$1)/10,0)*10,[1]Hugst!$R$4:$W$4,0))))</f>
        <v>506.97531368258933</v>
      </c>
      <c r="H141" s="168">
        <f ca="1">IF($C141-H$1&lt;År1,0,G140*(1-VLOOKUP($A141,[1]Hugst!$R$5:$W$9,MATCH(ROUNDUP((H$1)/10,0)*10,[1]Hugst!$R$4:$W$4,0))))</f>
        <v>509.5229283242079</v>
      </c>
      <c r="I141" s="168">
        <f ca="1">IF($C141-I$1&lt;År1,0,H140*(1-VLOOKUP($A141,[1]Hugst!$R$5:$W$9,MATCH(ROUNDUP((I$1)/10,0)*10,[1]Hugst!$R$4:$W$4,0))))</f>
        <v>512.08334504946833</v>
      </c>
      <c r="J141" s="168">
        <f ca="1">IF($C141-J$1&lt;År1,0,I140*(1-VLOOKUP($A141,[1]Hugst!$R$5:$W$9,MATCH(ROUNDUP((J$1)/10,0)*10,[1]Hugst!$R$4:$W$4,0))))</f>
        <v>514.65662819039426</v>
      </c>
      <c r="K141" s="168">
        <f ca="1">IF($C141-K$1&lt;År1,0,J140*(1-VLOOKUP($A141,[1]Hugst!$R$5:$W$9,MATCH(ROUNDUP((K$1)/10,0)*10,[1]Hugst!$R$4:$W$4,0))))</f>
        <v>517.24284240244015</v>
      </c>
      <c r="L141" s="168">
        <f ca="1">IF($C141-L$1&lt;År1,0,K140*(1-VLOOKUP($A141,[1]Hugst!$R$5:$W$9,MATCH(ROUNDUP((L$1)/10,0)*10,[1]Hugst!$R$4:$W$4,0))))</f>
        <v>519.84205266574281</v>
      </c>
      <c r="M141" s="168">
        <f ca="1">IF($C141-M$1&lt;År1,0,L140*(1-VLOOKUP($A141,[1]Hugst!$R$5:$W$9,MATCH(ROUNDUP((M$1)/10,0)*10,[1]Hugst!$R$4:$W$4,0))))</f>
        <v>522.45432428720233</v>
      </c>
      <c r="N141" s="168">
        <f ca="1">IF($C141-N$1&lt;År1,0,M140*(1-VLOOKUP($A141,[1]Hugst!$R$5:$W$9,MATCH(ROUNDUP((N$1)/10,0)*10,[1]Hugst!$R$4:$W$4,0))))</f>
        <v>525.07972290170437</v>
      </c>
      <c r="O141" s="168">
        <f ca="1">IF($C141-O$1&lt;År1,0,N140*(1-VLOOKUP($A141,[1]Hugst!$R$5:$W$9,MATCH(ROUNDUP((O$1)/10,0)*10,[1]Hugst!$R$4:$W$4,0))))</f>
        <v>527.71831447407021</v>
      </c>
      <c r="P141" s="168">
        <f ca="1">IF($C141-P$1&lt;År1,0,O140*(1-VLOOKUP($A141,[1]Hugst!$R$5:$W$9,MATCH(ROUNDUP((P$1)/10,0)*10,[1]Hugst!$R$4:$W$4,0))))</f>
        <v>530.37016530057008</v>
      </c>
      <c r="Q141" s="168">
        <f ca="1">IF($C141-Q$1&lt;År1,0,P140*(1-VLOOKUP($A141,[1]Hugst!$R$5:$W$9,MATCH(ROUNDUP((Q$1)/10,0)*10,[1]Hugst!$R$4:$W$4,0))))</f>
        <v>533.03534201062575</v>
      </c>
      <c r="R141" s="168">
        <f ca="1">IF($C141-R$1&lt;År1,0,Q140*(1-VLOOKUP($A141,[1]Hugst!$R$5:$W$9,MATCH(ROUNDUP((R$1)/10,0)*10,[1]Hugst!$R$4:$W$4,0))))</f>
        <v>535.71391156846948</v>
      </c>
      <c r="S141" s="168">
        <f ca="1">IF($C141-S$1&lt;År1,0,R140*(1-VLOOKUP($A141,[1]Hugst!$R$5:$W$9,MATCH(ROUNDUP((S$1)/10,0)*10,[1]Hugst!$R$4:$W$4,0))))</f>
        <v>538.40594127484655</v>
      </c>
      <c r="T141" s="168">
        <f ca="1">IF($C141-T$1&lt;År1,0,S140*(1-VLOOKUP($A141,[1]Hugst!$R$5:$W$9,MATCH(ROUNDUP((T$1)/10,0)*10,[1]Hugst!$R$4:$W$4,0))))</f>
        <v>541.11149876867421</v>
      </c>
      <c r="U141" s="168">
        <f ca="1">IF($C141-U$1&lt;År1,0,T140*(1-VLOOKUP($A141,[1]Hugst!$R$5:$W$9,MATCH(ROUNDUP((U$1)/10,0)*10,[1]Hugst!$R$4:$W$4,0))))</f>
        <v>543.83065202883154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176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501.91823492861295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501.91823492861295</v>
      </c>
      <c r="G142" s="168">
        <f ca="1">IF($C142-G$1&lt;År1,0,F141*(1-VLOOKUP($A142,[1]Hugst!$R$5:$W$9,MATCH(ROUNDUP((G$1)/10,0)*10,[1]Hugst!$R$4:$W$4,0))))</f>
        <v>504.44043711418635</v>
      </c>
      <c r="H142" s="168">
        <f ca="1">IF($C142-H$1&lt;År1,0,G141*(1-VLOOKUP($A142,[1]Hugst!$R$5:$W$9,MATCH(ROUNDUP((H$1)/10,0)*10,[1]Hugst!$R$4:$W$4,0))))</f>
        <v>506.97531368258933</v>
      </c>
      <c r="I142" s="168">
        <f ca="1">IF($C142-I$1&lt;År1,0,H141*(1-VLOOKUP($A142,[1]Hugst!$R$5:$W$9,MATCH(ROUNDUP((I$1)/10,0)*10,[1]Hugst!$R$4:$W$4,0))))</f>
        <v>509.5229283242079</v>
      </c>
      <c r="J142" s="168">
        <f ca="1">IF($C142-J$1&lt;År1,0,I141*(1-VLOOKUP($A142,[1]Hugst!$R$5:$W$9,MATCH(ROUNDUP((J$1)/10,0)*10,[1]Hugst!$R$4:$W$4,0))))</f>
        <v>512.08334504946833</v>
      </c>
      <c r="K142" s="168">
        <f ca="1">IF($C142-K$1&lt;År1,0,J141*(1-VLOOKUP($A142,[1]Hugst!$R$5:$W$9,MATCH(ROUNDUP((K$1)/10,0)*10,[1]Hugst!$R$4:$W$4,0))))</f>
        <v>514.65662819039426</v>
      </c>
      <c r="L142" s="168">
        <f ca="1">IF($C142-L$1&lt;År1,0,K141*(1-VLOOKUP($A142,[1]Hugst!$R$5:$W$9,MATCH(ROUNDUP((L$1)/10,0)*10,[1]Hugst!$R$4:$W$4,0))))</f>
        <v>517.24284240244015</v>
      </c>
      <c r="M142" s="168">
        <f ca="1">IF($C142-M$1&lt;År1,0,L141*(1-VLOOKUP($A142,[1]Hugst!$R$5:$W$9,MATCH(ROUNDUP((M$1)/10,0)*10,[1]Hugst!$R$4:$W$4,0))))</f>
        <v>519.84205266574281</v>
      </c>
      <c r="N142" s="168">
        <f ca="1">IF($C142-N$1&lt;År1,0,M141*(1-VLOOKUP($A142,[1]Hugst!$R$5:$W$9,MATCH(ROUNDUP((N$1)/10,0)*10,[1]Hugst!$R$4:$W$4,0))))</f>
        <v>522.45432428720233</v>
      </c>
      <c r="O142" s="168">
        <f ca="1">IF($C142-O$1&lt;År1,0,N141*(1-VLOOKUP($A142,[1]Hugst!$R$5:$W$9,MATCH(ROUNDUP((O$1)/10,0)*10,[1]Hugst!$R$4:$W$4,0))))</f>
        <v>525.07972290170437</v>
      </c>
      <c r="P142" s="168">
        <f ca="1">IF($C142-P$1&lt;År1,0,O141*(1-VLOOKUP($A142,[1]Hugst!$R$5:$W$9,MATCH(ROUNDUP((P$1)/10,0)*10,[1]Hugst!$R$4:$W$4,0))))</f>
        <v>527.71831447407021</v>
      </c>
      <c r="Q142" s="168">
        <f ca="1">IF($C142-Q$1&lt;År1,0,P141*(1-VLOOKUP($A142,[1]Hugst!$R$5:$W$9,MATCH(ROUNDUP((Q$1)/10,0)*10,[1]Hugst!$R$4:$W$4,0))))</f>
        <v>530.37016530057008</v>
      </c>
      <c r="R142" s="168">
        <f ca="1">IF($C142-R$1&lt;År1,0,Q141*(1-VLOOKUP($A142,[1]Hugst!$R$5:$W$9,MATCH(ROUNDUP((R$1)/10,0)*10,[1]Hugst!$R$4:$W$4,0))))</f>
        <v>533.03534201062575</v>
      </c>
      <c r="S142" s="168">
        <f ca="1">IF($C142-S$1&lt;År1,0,R141*(1-VLOOKUP($A142,[1]Hugst!$R$5:$W$9,MATCH(ROUNDUP((S$1)/10,0)*10,[1]Hugst!$R$4:$W$4,0))))</f>
        <v>535.71391156846948</v>
      </c>
      <c r="T142" s="168">
        <f ca="1">IF($C142-T$1&lt;År1,0,S141*(1-VLOOKUP($A142,[1]Hugst!$R$5:$W$9,MATCH(ROUNDUP((T$1)/10,0)*10,[1]Hugst!$R$4:$W$4,0))))</f>
        <v>538.40594127484655</v>
      </c>
      <c r="U142" s="168">
        <f ca="1">IF($C142-U$1&lt;År1,0,T141*(1-VLOOKUP($A142,[1]Hugst!$R$5:$W$9,MATCH(ROUNDUP((U$1)/10,0)*10,[1]Hugst!$R$4:$W$4,0))))</f>
        <v>541.11149876867421</v>
      </c>
      <c r="V142" s="168">
        <f ca="1">IF($C142-V$1&lt;År1,0,U141*(1-VLOOKUP($A142,[1]Hugst!$R$5:$W$9,MATCH(ROUNDUP((V$1)/10,0)*10,[1]Hugst!$R$4:$W$4,0))))</f>
        <v>543.83065202883154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176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499.40864375396632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499.40864375396632</v>
      </c>
      <c r="G143" s="168">
        <f ca="1">IF($C143-G$1&lt;År1,0,F142*(1-VLOOKUP($A143,[1]Hugst!$R$5:$W$9,MATCH(ROUNDUP((G$1)/10,0)*10,[1]Hugst!$R$4:$W$4,0))))</f>
        <v>501.91823492861295</v>
      </c>
      <c r="H143" s="168">
        <f ca="1">IF($C143-H$1&lt;År1,0,G142*(1-VLOOKUP($A143,[1]Hugst!$R$5:$W$9,MATCH(ROUNDUP((H$1)/10,0)*10,[1]Hugst!$R$4:$W$4,0))))</f>
        <v>504.44043711418635</v>
      </c>
      <c r="I143" s="168">
        <f ca="1">IF($C143-I$1&lt;År1,0,H142*(1-VLOOKUP($A143,[1]Hugst!$R$5:$W$9,MATCH(ROUNDUP((I$1)/10,0)*10,[1]Hugst!$R$4:$W$4,0))))</f>
        <v>506.97531368258933</v>
      </c>
      <c r="J143" s="168">
        <f ca="1">IF($C143-J$1&lt;År1,0,I142*(1-VLOOKUP($A143,[1]Hugst!$R$5:$W$9,MATCH(ROUNDUP((J$1)/10,0)*10,[1]Hugst!$R$4:$W$4,0))))</f>
        <v>509.5229283242079</v>
      </c>
      <c r="K143" s="168">
        <f ca="1">IF($C143-K$1&lt;År1,0,J142*(1-VLOOKUP($A143,[1]Hugst!$R$5:$W$9,MATCH(ROUNDUP((K$1)/10,0)*10,[1]Hugst!$R$4:$W$4,0))))</f>
        <v>512.08334504946833</v>
      </c>
      <c r="L143" s="168">
        <f ca="1">IF($C143-L$1&lt;År1,0,K142*(1-VLOOKUP($A143,[1]Hugst!$R$5:$W$9,MATCH(ROUNDUP((L$1)/10,0)*10,[1]Hugst!$R$4:$W$4,0))))</f>
        <v>514.65662819039426</v>
      </c>
      <c r="M143" s="168">
        <f ca="1">IF($C143-M$1&lt;År1,0,L142*(1-VLOOKUP($A143,[1]Hugst!$R$5:$W$9,MATCH(ROUNDUP((M$1)/10,0)*10,[1]Hugst!$R$4:$W$4,0))))</f>
        <v>517.24284240244015</v>
      </c>
      <c r="N143" s="168">
        <f ca="1">IF($C143-N$1&lt;År1,0,M142*(1-VLOOKUP($A143,[1]Hugst!$R$5:$W$9,MATCH(ROUNDUP((N$1)/10,0)*10,[1]Hugst!$R$4:$W$4,0))))</f>
        <v>519.84205266574281</v>
      </c>
      <c r="O143" s="168">
        <f ca="1">IF($C143-O$1&lt;År1,0,N142*(1-VLOOKUP($A143,[1]Hugst!$R$5:$W$9,MATCH(ROUNDUP((O$1)/10,0)*10,[1]Hugst!$R$4:$W$4,0))))</f>
        <v>522.45432428720233</v>
      </c>
      <c r="P143" s="168">
        <f ca="1">IF($C143-P$1&lt;År1,0,O142*(1-VLOOKUP($A143,[1]Hugst!$R$5:$W$9,MATCH(ROUNDUP((P$1)/10,0)*10,[1]Hugst!$R$4:$W$4,0))))</f>
        <v>525.07972290170437</v>
      </c>
      <c r="Q143" s="168">
        <f ca="1">IF($C143-Q$1&lt;År1,0,P142*(1-VLOOKUP($A143,[1]Hugst!$R$5:$W$9,MATCH(ROUNDUP((Q$1)/10,0)*10,[1]Hugst!$R$4:$W$4,0))))</f>
        <v>527.71831447407021</v>
      </c>
      <c r="R143" s="168">
        <f ca="1">IF($C143-R$1&lt;År1,0,Q142*(1-VLOOKUP($A143,[1]Hugst!$R$5:$W$9,MATCH(ROUNDUP((R$1)/10,0)*10,[1]Hugst!$R$4:$W$4,0))))</f>
        <v>530.37016530057008</v>
      </c>
      <c r="S143" s="168">
        <f ca="1">IF($C143-S$1&lt;År1,0,R142*(1-VLOOKUP($A143,[1]Hugst!$R$5:$W$9,MATCH(ROUNDUP((S$1)/10,0)*10,[1]Hugst!$R$4:$W$4,0))))</f>
        <v>533.03534201062575</v>
      </c>
      <c r="T143" s="168">
        <f ca="1">IF($C143-T$1&lt;År1,0,S142*(1-VLOOKUP($A143,[1]Hugst!$R$5:$W$9,MATCH(ROUNDUP((T$1)/10,0)*10,[1]Hugst!$R$4:$W$4,0))))</f>
        <v>535.71391156846948</v>
      </c>
      <c r="U143" s="168">
        <f ca="1">IF($C143-U$1&lt;År1,0,T142*(1-VLOOKUP($A143,[1]Hugst!$R$5:$W$9,MATCH(ROUNDUP((U$1)/10,0)*10,[1]Hugst!$R$4:$W$4,0))))</f>
        <v>538.40594127484655</v>
      </c>
      <c r="V143" s="168">
        <f ca="1">IF($C143-V$1&lt;År1,0,U142*(1-VLOOKUP($A143,[1]Hugst!$R$5:$W$9,MATCH(ROUNDUP((V$1)/10,0)*10,[1]Hugst!$R$4:$W$4,0))))</f>
        <v>541.11149876867421</v>
      </c>
      <c r="W143" s="168">
        <f ca="1">IF($C143-W$1&lt;År1,0,V142*(1-VLOOKUP($A143,[1]Hugst!$R$5:$W$9,MATCH(ROUNDUP((W$1)/10,0)*10,[1]Hugst!$R$4:$W$4,0))))</f>
        <v>543.83065202883154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176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496.91160053521162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496.91160053521162</v>
      </c>
      <c r="G144" s="168">
        <f ca="1">IF($C144-G$1&lt;År1,0,F143*(1-VLOOKUP($A144,[1]Hugst!$R$5:$W$9,MATCH(ROUNDUP((G$1)/10,0)*10,[1]Hugst!$R$4:$W$4,0))))</f>
        <v>499.40864375396632</v>
      </c>
      <c r="H144" s="168">
        <f ca="1">IF($C144-H$1&lt;År1,0,G143*(1-VLOOKUP($A144,[1]Hugst!$R$5:$W$9,MATCH(ROUNDUP((H$1)/10,0)*10,[1]Hugst!$R$4:$W$4,0))))</f>
        <v>501.91823492861295</v>
      </c>
      <c r="I144" s="168">
        <f ca="1">IF($C144-I$1&lt;År1,0,H143*(1-VLOOKUP($A144,[1]Hugst!$R$5:$W$9,MATCH(ROUNDUP((I$1)/10,0)*10,[1]Hugst!$R$4:$W$4,0))))</f>
        <v>504.44043711418635</v>
      </c>
      <c r="J144" s="168">
        <f ca="1">IF($C144-J$1&lt;År1,0,I143*(1-VLOOKUP($A144,[1]Hugst!$R$5:$W$9,MATCH(ROUNDUP((J$1)/10,0)*10,[1]Hugst!$R$4:$W$4,0))))</f>
        <v>506.97531368258933</v>
      </c>
      <c r="K144" s="168">
        <f ca="1">IF($C144-K$1&lt;År1,0,J143*(1-VLOOKUP($A144,[1]Hugst!$R$5:$W$9,MATCH(ROUNDUP((K$1)/10,0)*10,[1]Hugst!$R$4:$W$4,0))))</f>
        <v>509.5229283242079</v>
      </c>
      <c r="L144" s="168">
        <f ca="1">IF($C144-L$1&lt;År1,0,K143*(1-VLOOKUP($A144,[1]Hugst!$R$5:$W$9,MATCH(ROUNDUP((L$1)/10,0)*10,[1]Hugst!$R$4:$W$4,0))))</f>
        <v>512.08334504946833</v>
      </c>
      <c r="M144" s="168">
        <f ca="1">IF($C144-M$1&lt;År1,0,L143*(1-VLOOKUP($A144,[1]Hugst!$R$5:$W$9,MATCH(ROUNDUP((M$1)/10,0)*10,[1]Hugst!$R$4:$W$4,0))))</f>
        <v>514.65662819039426</v>
      </c>
      <c r="N144" s="168">
        <f ca="1">IF($C144-N$1&lt;År1,0,M143*(1-VLOOKUP($A144,[1]Hugst!$R$5:$W$9,MATCH(ROUNDUP((N$1)/10,0)*10,[1]Hugst!$R$4:$W$4,0))))</f>
        <v>517.24284240244015</v>
      </c>
      <c r="O144" s="168">
        <f ca="1">IF($C144-O$1&lt;År1,0,N143*(1-VLOOKUP($A144,[1]Hugst!$R$5:$W$9,MATCH(ROUNDUP((O$1)/10,0)*10,[1]Hugst!$R$4:$W$4,0))))</f>
        <v>519.84205266574281</v>
      </c>
      <c r="P144" s="168">
        <f ca="1">IF($C144-P$1&lt;År1,0,O143*(1-VLOOKUP($A144,[1]Hugst!$R$5:$W$9,MATCH(ROUNDUP((P$1)/10,0)*10,[1]Hugst!$R$4:$W$4,0))))</f>
        <v>522.45432428720233</v>
      </c>
      <c r="Q144" s="168">
        <f ca="1">IF($C144-Q$1&lt;År1,0,P143*(1-VLOOKUP($A144,[1]Hugst!$R$5:$W$9,MATCH(ROUNDUP((Q$1)/10,0)*10,[1]Hugst!$R$4:$W$4,0))))</f>
        <v>525.07972290170437</v>
      </c>
      <c r="R144" s="168">
        <f ca="1">IF($C144-R$1&lt;År1,0,Q143*(1-VLOOKUP($A144,[1]Hugst!$R$5:$W$9,MATCH(ROUNDUP((R$1)/10,0)*10,[1]Hugst!$R$4:$W$4,0))))</f>
        <v>527.71831447407021</v>
      </c>
      <c r="S144" s="168">
        <f ca="1">IF($C144-S$1&lt;År1,0,R143*(1-VLOOKUP($A144,[1]Hugst!$R$5:$W$9,MATCH(ROUNDUP((S$1)/10,0)*10,[1]Hugst!$R$4:$W$4,0))))</f>
        <v>530.37016530057008</v>
      </c>
      <c r="T144" s="168">
        <f ca="1">IF($C144-T$1&lt;År1,0,S143*(1-VLOOKUP($A144,[1]Hugst!$R$5:$W$9,MATCH(ROUNDUP((T$1)/10,0)*10,[1]Hugst!$R$4:$W$4,0))))</f>
        <v>533.03534201062575</v>
      </c>
      <c r="U144" s="168">
        <f ca="1">IF($C144-U$1&lt;År1,0,T143*(1-VLOOKUP($A144,[1]Hugst!$R$5:$W$9,MATCH(ROUNDUP((U$1)/10,0)*10,[1]Hugst!$R$4:$W$4,0))))</f>
        <v>535.71391156846948</v>
      </c>
      <c r="V144" s="168">
        <f ca="1">IF($C144-V$1&lt;År1,0,U143*(1-VLOOKUP($A144,[1]Hugst!$R$5:$W$9,MATCH(ROUNDUP((V$1)/10,0)*10,[1]Hugst!$R$4:$W$4,0))))</f>
        <v>538.40594127484655</v>
      </c>
      <c r="W144" s="168">
        <f ca="1">IF($C144-W$1&lt;År1,0,V143*(1-VLOOKUP($A144,[1]Hugst!$R$5:$W$9,MATCH(ROUNDUP((W$1)/10,0)*10,[1]Hugst!$R$4:$W$4,0))))</f>
        <v>541.11149876867421</v>
      </c>
      <c r="X144" s="168">
        <f ca="1">IF($C144-X$1&lt;År1,0,W143*(1-VLOOKUP($A144,[1]Hugst!$R$5:$W$9,MATCH(ROUNDUP((X$1)/10,0)*10,[1]Hugst!$R$4:$W$4,0))))</f>
        <v>543.83065202883154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176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494.42704253250849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494.42704253250849</v>
      </c>
      <c r="G145" s="168">
        <f ca="1">IF($C145-G$1&lt;År1,0,F144*(1-VLOOKUP($A145,[1]Hugst!$R$5:$W$9,MATCH(ROUNDUP((G$1)/10,0)*10,[1]Hugst!$R$4:$W$4,0))))</f>
        <v>496.91160053521162</v>
      </c>
      <c r="H145" s="168">
        <f ca="1">IF($C145-H$1&lt;År1,0,G144*(1-VLOOKUP($A145,[1]Hugst!$R$5:$W$9,MATCH(ROUNDUP((H$1)/10,0)*10,[1]Hugst!$R$4:$W$4,0))))</f>
        <v>499.40864375396632</v>
      </c>
      <c r="I145" s="168">
        <f ca="1">IF($C145-I$1&lt;År1,0,H144*(1-VLOOKUP($A145,[1]Hugst!$R$5:$W$9,MATCH(ROUNDUP((I$1)/10,0)*10,[1]Hugst!$R$4:$W$4,0))))</f>
        <v>501.91823492861295</v>
      </c>
      <c r="J145" s="168">
        <f ca="1">IF($C145-J$1&lt;År1,0,I144*(1-VLOOKUP($A145,[1]Hugst!$R$5:$W$9,MATCH(ROUNDUP((J$1)/10,0)*10,[1]Hugst!$R$4:$W$4,0))))</f>
        <v>504.44043711418635</v>
      </c>
      <c r="K145" s="168">
        <f ca="1">IF($C145-K$1&lt;År1,0,J144*(1-VLOOKUP($A145,[1]Hugst!$R$5:$W$9,MATCH(ROUNDUP((K$1)/10,0)*10,[1]Hugst!$R$4:$W$4,0))))</f>
        <v>506.97531368258933</v>
      </c>
      <c r="L145" s="168">
        <f ca="1">IF($C145-L$1&lt;År1,0,K144*(1-VLOOKUP($A145,[1]Hugst!$R$5:$W$9,MATCH(ROUNDUP((L$1)/10,0)*10,[1]Hugst!$R$4:$W$4,0))))</f>
        <v>509.5229283242079</v>
      </c>
      <c r="M145" s="168">
        <f ca="1">IF($C145-M$1&lt;År1,0,L144*(1-VLOOKUP($A145,[1]Hugst!$R$5:$W$9,MATCH(ROUNDUP((M$1)/10,0)*10,[1]Hugst!$R$4:$W$4,0))))</f>
        <v>512.08334504946833</v>
      </c>
      <c r="N145" s="168">
        <f ca="1">IF($C145-N$1&lt;År1,0,M144*(1-VLOOKUP($A145,[1]Hugst!$R$5:$W$9,MATCH(ROUNDUP((N$1)/10,0)*10,[1]Hugst!$R$4:$W$4,0))))</f>
        <v>514.65662819039426</v>
      </c>
      <c r="O145" s="168">
        <f ca="1">IF($C145-O$1&lt;År1,0,N144*(1-VLOOKUP($A145,[1]Hugst!$R$5:$W$9,MATCH(ROUNDUP((O$1)/10,0)*10,[1]Hugst!$R$4:$W$4,0))))</f>
        <v>517.24284240244015</v>
      </c>
      <c r="P145" s="168">
        <f ca="1">IF($C145-P$1&lt;År1,0,O144*(1-VLOOKUP($A145,[1]Hugst!$R$5:$W$9,MATCH(ROUNDUP((P$1)/10,0)*10,[1]Hugst!$R$4:$W$4,0))))</f>
        <v>519.84205266574281</v>
      </c>
      <c r="Q145" s="168">
        <f ca="1">IF($C145-Q$1&lt;År1,0,P144*(1-VLOOKUP($A145,[1]Hugst!$R$5:$W$9,MATCH(ROUNDUP((Q$1)/10,0)*10,[1]Hugst!$R$4:$W$4,0))))</f>
        <v>522.45432428720233</v>
      </c>
      <c r="R145" s="168">
        <f ca="1">IF($C145-R$1&lt;År1,0,Q144*(1-VLOOKUP($A145,[1]Hugst!$R$5:$W$9,MATCH(ROUNDUP((R$1)/10,0)*10,[1]Hugst!$R$4:$W$4,0))))</f>
        <v>525.07972290170437</v>
      </c>
      <c r="S145" s="168">
        <f ca="1">IF($C145-S$1&lt;År1,0,R144*(1-VLOOKUP($A145,[1]Hugst!$R$5:$W$9,MATCH(ROUNDUP((S$1)/10,0)*10,[1]Hugst!$R$4:$W$4,0))))</f>
        <v>527.71831447407021</v>
      </c>
      <c r="T145" s="168">
        <f ca="1">IF($C145-T$1&lt;År1,0,S144*(1-VLOOKUP($A145,[1]Hugst!$R$5:$W$9,MATCH(ROUNDUP((T$1)/10,0)*10,[1]Hugst!$R$4:$W$4,0))))</f>
        <v>530.37016530057008</v>
      </c>
      <c r="U145" s="168">
        <f ca="1">IF($C145-U$1&lt;År1,0,T144*(1-VLOOKUP($A145,[1]Hugst!$R$5:$W$9,MATCH(ROUNDUP((U$1)/10,0)*10,[1]Hugst!$R$4:$W$4,0))))</f>
        <v>533.03534201062575</v>
      </c>
      <c r="V145" s="168">
        <f ca="1">IF($C145-V$1&lt;År1,0,U144*(1-VLOOKUP($A145,[1]Hugst!$R$5:$W$9,MATCH(ROUNDUP((V$1)/10,0)*10,[1]Hugst!$R$4:$W$4,0))))</f>
        <v>535.71391156846948</v>
      </c>
      <c r="W145" s="168">
        <f ca="1">IF($C145-W$1&lt;År1,0,V144*(1-VLOOKUP($A145,[1]Hugst!$R$5:$W$9,MATCH(ROUNDUP((W$1)/10,0)*10,[1]Hugst!$R$4:$W$4,0))))</f>
        <v>538.40594127484655</v>
      </c>
      <c r="X145" s="168">
        <f ca="1">IF($C145-X$1&lt;År1,0,W144*(1-VLOOKUP($A145,[1]Hugst!$R$5:$W$9,MATCH(ROUNDUP((X$1)/10,0)*10,[1]Hugst!$R$4:$W$4,0))))</f>
        <v>541.11149876867421</v>
      </c>
      <c r="Y145" s="168">
        <f ca="1">IF($C145-Y$1&lt;År1,0,X144*(1-VLOOKUP($A145,[1]Hugst!$R$5:$W$9,MATCH(ROUNDUP((Y$1)/10,0)*10,[1]Hugst!$R$4:$W$4,0))))</f>
        <v>543.83065202883154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176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491.95490731985774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491.95490731985774</v>
      </c>
      <c r="G146" s="168">
        <f ca="1">IF($C146-G$1&lt;År1,0,F145*(1-VLOOKUP($A146,[1]Hugst!$R$5:$W$9,MATCH(ROUNDUP((G$1)/10,0)*10,[1]Hugst!$R$4:$W$4,0))))</f>
        <v>494.42704253250849</v>
      </c>
      <c r="H146" s="168">
        <f ca="1">IF($C146-H$1&lt;År1,0,G145*(1-VLOOKUP($A146,[1]Hugst!$R$5:$W$9,MATCH(ROUNDUP((H$1)/10,0)*10,[1]Hugst!$R$4:$W$4,0))))</f>
        <v>496.91160053521162</v>
      </c>
      <c r="I146" s="168">
        <f ca="1">IF($C146-I$1&lt;År1,0,H145*(1-VLOOKUP($A146,[1]Hugst!$R$5:$W$9,MATCH(ROUNDUP((I$1)/10,0)*10,[1]Hugst!$R$4:$W$4,0))))</f>
        <v>499.40864375396632</v>
      </c>
      <c r="J146" s="168">
        <f ca="1">IF($C146-J$1&lt;År1,0,I145*(1-VLOOKUP($A146,[1]Hugst!$R$5:$W$9,MATCH(ROUNDUP((J$1)/10,0)*10,[1]Hugst!$R$4:$W$4,0))))</f>
        <v>501.91823492861295</v>
      </c>
      <c r="K146" s="168">
        <f ca="1">IF($C146-K$1&lt;År1,0,J145*(1-VLOOKUP($A146,[1]Hugst!$R$5:$W$9,MATCH(ROUNDUP((K$1)/10,0)*10,[1]Hugst!$R$4:$W$4,0))))</f>
        <v>504.44043711418635</v>
      </c>
      <c r="L146" s="168">
        <f ca="1">IF($C146-L$1&lt;År1,0,K145*(1-VLOOKUP($A146,[1]Hugst!$R$5:$W$9,MATCH(ROUNDUP((L$1)/10,0)*10,[1]Hugst!$R$4:$W$4,0))))</f>
        <v>506.97531368258933</v>
      </c>
      <c r="M146" s="168">
        <f ca="1">IF($C146-M$1&lt;År1,0,L145*(1-VLOOKUP($A146,[1]Hugst!$R$5:$W$9,MATCH(ROUNDUP((M$1)/10,0)*10,[1]Hugst!$R$4:$W$4,0))))</f>
        <v>509.5229283242079</v>
      </c>
      <c r="N146" s="168">
        <f ca="1">IF($C146-N$1&lt;År1,0,M145*(1-VLOOKUP($A146,[1]Hugst!$R$5:$W$9,MATCH(ROUNDUP((N$1)/10,0)*10,[1]Hugst!$R$4:$W$4,0))))</f>
        <v>512.08334504946833</v>
      </c>
      <c r="O146" s="168">
        <f ca="1">IF($C146-O$1&lt;År1,0,N145*(1-VLOOKUP($A146,[1]Hugst!$R$5:$W$9,MATCH(ROUNDUP((O$1)/10,0)*10,[1]Hugst!$R$4:$W$4,0))))</f>
        <v>514.65662819039426</v>
      </c>
      <c r="P146" s="168">
        <f ca="1">IF($C146-P$1&lt;År1,0,O145*(1-VLOOKUP($A146,[1]Hugst!$R$5:$W$9,MATCH(ROUNDUP((P$1)/10,0)*10,[1]Hugst!$R$4:$W$4,0))))</f>
        <v>517.24284240244015</v>
      </c>
      <c r="Q146" s="168">
        <f ca="1">IF($C146-Q$1&lt;År1,0,P145*(1-VLOOKUP($A146,[1]Hugst!$R$5:$W$9,MATCH(ROUNDUP((Q$1)/10,0)*10,[1]Hugst!$R$4:$W$4,0))))</f>
        <v>519.84205266574281</v>
      </c>
      <c r="R146" s="168">
        <f ca="1">IF($C146-R$1&lt;År1,0,Q145*(1-VLOOKUP($A146,[1]Hugst!$R$5:$W$9,MATCH(ROUNDUP((R$1)/10,0)*10,[1]Hugst!$R$4:$W$4,0))))</f>
        <v>522.45432428720233</v>
      </c>
      <c r="S146" s="168">
        <f ca="1">IF($C146-S$1&lt;År1,0,R145*(1-VLOOKUP($A146,[1]Hugst!$R$5:$W$9,MATCH(ROUNDUP((S$1)/10,0)*10,[1]Hugst!$R$4:$W$4,0))))</f>
        <v>525.07972290170437</v>
      </c>
      <c r="T146" s="168">
        <f ca="1">IF($C146-T$1&lt;År1,0,S145*(1-VLOOKUP($A146,[1]Hugst!$R$5:$W$9,MATCH(ROUNDUP((T$1)/10,0)*10,[1]Hugst!$R$4:$W$4,0))))</f>
        <v>527.71831447407021</v>
      </c>
      <c r="U146" s="168">
        <f ca="1">IF($C146-U$1&lt;År1,0,T145*(1-VLOOKUP($A146,[1]Hugst!$R$5:$W$9,MATCH(ROUNDUP((U$1)/10,0)*10,[1]Hugst!$R$4:$W$4,0))))</f>
        <v>530.37016530057008</v>
      </c>
      <c r="V146" s="168">
        <f ca="1">IF($C146-V$1&lt;År1,0,U145*(1-VLOOKUP($A146,[1]Hugst!$R$5:$W$9,MATCH(ROUNDUP((V$1)/10,0)*10,[1]Hugst!$R$4:$W$4,0))))</f>
        <v>533.03534201062575</v>
      </c>
      <c r="W146" s="168">
        <f ca="1">IF($C146-W$1&lt;År1,0,V145*(1-VLOOKUP($A146,[1]Hugst!$R$5:$W$9,MATCH(ROUNDUP((W$1)/10,0)*10,[1]Hugst!$R$4:$W$4,0))))</f>
        <v>535.71391156846948</v>
      </c>
      <c r="X146" s="168">
        <f ca="1">IF($C146-X$1&lt;År1,0,W145*(1-VLOOKUP($A146,[1]Hugst!$R$5:$W$9,MATCH(ROUNDUP((X$1)/10,0)*10,[1]Hugst!$R$4:$W$4,0))))</f>
        <v>538.40594127484655</v>
      </c>
      <c r="Y146" s="168">
        <f ca="1">IF($C146-Y$1&lt;År1,0,X145*(1-VLOOKUP($A146,[1]Hugst!$R$5:$W$9,MATCH(ROUNDUP((Y$1)/10,0)*10,[1]Hugst!$R$4:$W$4,0))))</f>
        <v>541.11149876867421</v>
      </c>
      <c r="Z146" s="168">
        <f ca="1">IF($C146-Z$1&lt;År1,0,Y145*(1-VLOOKUP($A146,[1]Hugst!$R$5:$W$9,MATCH(ROUNDUP((Z$1)/10,0)*10,[1]Hugst!$R$4:$W$4,0))))</f>
        <v>543.83065202883154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176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489.49513278326776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489.49513278326776</v>
      </c>
      <c r="G147" s="168">
        <f ca="1">IF($C147-G$1&lt;År1,0,F146*(1-VLOOKUP($A147,[1]Hugst!$R$5:$W$9,MATCH(ROUNDUP((G$1)/10,0)*10,[1]Hugst!$R$4:$W$4,0))))</f>
        <v>491.95490731985774</v>
      </c>
      <c r="H147" s="168">
        <f ca="1">IF($C147-H$1&lt;År1,0,G146*(1-VLOOKUP($A147,[1]Hugst!$R$5:$W$9,MATCH(ROUNDUP((H$1)/10,0)*10,[1]Hugst!$R$4:$W$4,0))))</f>
        <v>494.42704253250849</v>
      </c>
      <c r="I147" s="168">
        <f ca="1">IF($C147-I$1&lt;År1,0,H146*(1-VLOOKUP($A147,[1]Hugst!$R$5:$W$9,MATCH(ROUNDUP((I$1)/10,0)*10,[1]Hugst!$R$4:$W$4,0))))</f>
        <v>496.91160053521162</v>
      </c>
      <c r="J147" s="168">
        <f ca="1">IF($C147-J$1&lt;År1,0,I146*(1-VLOOKUP($A147,[1]Hugst!$R$5:$W$9,MATCH(ROUNDUP((J$1)/10,0)*10,[1]Hugst!$R$4:$W$4,0))))</f>
        <v>499.40864375396632</v>
      </c>
      <c r="K147" s="168">
        <f ca="1">IF($C147-K$1&lt;År1,0,J146*(1-VLOOKUP($A147,[1]Hugst!$R$5:$W$9,MATCH(ROUNDUP((K$1)/10,0)*10,[1]Hugst!$R$4:$W$4,0))))</f>
        <v>501.91823492861295</v>
      </c>
      <c r="L147" s="168">
        <f ca="1">IF($C147-L$1&lt;År1,0,K146*(1-VLOOKUP($A147,[1]Hugst!$R$5:$W$9,MATCH(ROUNDUP((L$1)/10,0)*10,[1]Hugst!$R$4:$W$4,0))))</f>
        <v>504.44043711418635</v>
      </c>
      <c r="M147" s="168">
        <f ca="1">IF($C147-M$1&lt;År1,0,L146*(1-VLOOKUP($A147,[1]Hugst!$R$5:$W$9,MATCH(ROUNDUP((M$1)/10,0)*10,[1]Hugst!$R$4:$W$4,0))))</f>
        <v>506.97531368258933</v>
      </c>
      <c r="N147" s="168">
        <f ca="1">IF($C147-N$1&lt;År1,0,M146*(1-VLOOKUP($A147,[1]Hugst!$R$5:$W$9,MATCH(ROUNDUP((N$1)/10,0)*10,[1]Hugst!$R$4:$W$4,0))))</f>
        <v>509.5229283242079</v>
      </c>
      <c r="O147" s="168">
        <f ca="1">IF($C147-O$1&lt;År1,0,N146*(1-VLOOKUP($A147,[1]Hugst!$R$5:$W$9,MATCH(ROUNDUP((O$1)/10,0)*10,[1]Hugst!$R$4:$W$4,0))))</f>
        <v>512.08334504946833</v>
      </c>
      <c r="P147" s="168">
        <f ca="1">IF($C147-P$1&lt;År1,0,O146*(1-VLOOKUP($A147,[1]Hugst!$R$5:$W$9,MATCH(ROUNDUP((P$1)/10,0)*10,[1]Hugst!$R$4:$W$4,0))))</f>
        <v>514.65662819039426</v>
      </c>
      <c r="Q147" s="168">
        <f ca="1">IF($C147-Q$1&lt;År1,0,P146*(1-VLOOKUP($A147,[1]Hugst!$R$5:$W$9,MATCH(ROUNDUP((Q$1)/10,0)*10,[1]Hugst!$R$4:$W$4,0))))</f>
        <v>517.24284240244015</v>
      </c>
      <c r="R147" s="168">
        <f ca="1">IF($C147-R$1&lt;År1,0,Q146*(1-VLOOKUP($A147,[1]Hugst!$R$5:$W$9,MATCH(ROUNDUP((R$1)/10,0)*10,[1]Hugst!$R$4:$W$4,0))))</f>
        <v>519.84205266574281</v>
      </c>
      <c r="S147" s="168">
        <f ca="1">IF($C147-S$1&lt;År1,0,R146*(1-VLOOKUP($A147,[1]Hugst!$R$5:$W$9,MATCH(ROUNDUP((S$1)/10,0)*10,[1]Hugst!$R$4:$W$4,0))))</f>
        <v>522.45432428720233</v>
      </c>
      <c r="T147" s="168">
        <f ca="1">IF($C147-T$1&lt;År1,0,S146*(1-VLOOKUP($A147,[1]Hugst!$R$5:$W$9,MATCH(ROUNDUP((T$1)/10,0)*10,[1]Hugst!$R$4:$W$4,0))))</f>
        <v>525.07972290170437</v>
      </c>
      <c r="U147" s="168">
        <f ca="1">IF($C147-U$1&lt;År1,0,T146*(1-VLOOKUP($A147,[1]Hugst!$R$5:$W$9,MATCH(ROUNDUP((U$1)/10,0)*10,[1]Hugst!$R$4:$W$4,0))))</f>
        <v>527.71831447407021</v>
      </c>
      <c r="V147" s="168">
        <f ca="1">IF($C147-V$1&lt;År1,0,U146*(1-VLOOKUP($A147,[1]Hugst!$R$5:$W$9,MATCH(ROUNDUP((V$1)/10,0)*10,[1]Hugst!$R$4:$W$4,0))))</f>
        <v>530.37016530057008</v>
      </c>
      <c r="W147" s="168">
        <f ca="1">IF($C147-W$1&lt;År1,0,V146*(1-VLOOKUP($A147,[1]Hugst!$R$5:$W$9,MATCH(ROUNDUP((W$1)/10,0)*10,[1]Hugst!$R$4:$W$4,0))))</f>
        <v>533.03534201062575</v>
      </c>
      <c r="X147" s="168">
        <f ca="1">IF($C147-X$1&lt;År1,0,W146*(1-VLOOKUP($A147,[1]Hugst!$R$5:$W$9,MATCH(ROUNDUP((X$1)/10,0)*10,[1]Hugst!$R$4:$W$4,0))))</f>
        <v>535.71391156846948</v>
      </c>
      <c r="Y147" s="168">
        <f ca="1">IF($C147-Y$1&lt;År1,0,X146*(1-VLOOKUP($A147,[1]Hugst!$R$5:$W$9,MATCH(ROUNDUP((Y$1)/10,0)*10,[1]Hugst!$R$4:$W$4,0))))</f>
        <v>538.40594127484655</v>
      </c>
      <c r="Z147" s="168">
        <f ca="1">IF($C147-Z$1&lt;År1,0,Y146*(1-VLOOKUP($A147,[1]Hugst!$R$5:$W$9,MATCH(ROUNDUP((Z$1)/10,0)*10,[1]Hugst!$R$4:$W$4,0))))</f>
        <v>541.11149876867421</v>
      </c>
      <c r="AA147" s="168">
        <f ca="1">IF($C147-AA$1&lt;År1,0,Z146*(1-VLOOKUP($A147,[1]Hugst!$R$5:$W$9,MATCH(ROUNDUP((AA$1)/10,0)*10,[1]Hugst!$R$4:$W$4,0))))</f>
        <v>543.83065202883154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176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487.04765711934306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487.04765711934306</v>
      </c>
      <c r="G148" s="168">
        <f ca="1">IF($C148-G$1&lt;År1,0,F147*(1-VLOOKUP($A148,[1]Hugst!$R$5:$W$9,MATCH(ROUNDUP((G$1)/10,0)*10,[1]Hugst!$R$4:$W$4,0))))</f>
        <v>489.49513278326776</v>
      </c>
      <c r="H148" s="168">
        <f ca="1">IF($C148-H$1&lt;År1,0,G147*(1-VLOOKUP($A148,[1]Hugst!$R$5:$W$9,MATCH(ROUNDUP((H$1)/10,0)*10,[1]Hugst!$R$4:$W$4,0))))</f>
        <v>491.95490731985774</v>
      </c>
      <c r="I148" s="168">
        <f ca="1">IF($C148-I$1&lt;År1,0,H147*(1-VLOOKUP($A148,[1]Hugst!$R$5:$W$9,MATCH(ROUNDUP((I$1)/10,0)*10,[1]Hugst!$R$4:$W$4,0))))</f>
        <v>494.42704253250849</v>
      </c>
      <c r="J148" s="168">
        <f ca="1">IF($C148-J$1&lt;År1,0,I147*(1-VLOOKUP($A148,[1]Hugst!$R$5:$W$9,MATCH(ROUNDUP((J$1)/10,0)*10,[1]Hugst!$R$4:$W$4,0))))</f>
        <v>496.91160053521162</v>
      </c>
      <c r="K148" s="168">
        <f ca="1">IF($C148-K$1&lt;År1,0,J147*(1-VLOOKUP($A148,[1]Hugst!$R$5:$W$9,MATCH(ROUNDUP((K$1)/10,0)*10,[1]Hugst!$R$4:$W$4,0))))</f>
        <v>499.40864375396632</v>
      </c>
      <c r="L148" s="168">
        <f ca="1">IF($C148-L$1&lt;År1,0,K147*(1-VLOOKUP($A148,[1]Hugst!$R$5:$W$9,MATCH(ROUNDUP((L$1)/10,0)*10,[1]Hugst!$R$4:$W$4,0))))</f>
        <v>501.91823492861295</v>
      </c>
      <c r="M148" s="168">
        <f ca="1">IF($C148-M$1&lt;År1,0,L147*(1-VLOOKUP($A148,[1]Hugst!$R$5:$W$9,MATCH(ROUNDUP((M$1)/10,0)*10,[1]Hugst!$R$4:$W$4,0))))</f>
        <v>504.44043711418635</v>
      </c>
      <c r="N148" s="168">
        <f ca="1">IF($C148-N$1&lt;År1,0,M147*(1-VLOOKUP($A148,[1]Hugst!$R$5:$W$9,MATCH(ROUNDUP((N$1)/10,0)*10,[1]Hugst!$R$4:$W$4,0))))</f>
        <v>506.97531368258933</v>
      </c>
      <c r="O148" s="168">
        <f ca="1">IF($C148-O$1&lt;År1,0,N147*(1-VLOOKUP($A148,[1]Hugst!$R$5:$W$9,MATCH(ROUNDUP((O$1)/10,0)*10,[1]Hugst!$R$4:$W$4,0))))</f>
        <v>509.5229283242079</v>
      </c>
      <c r="P148" s="168">
        <f ca="1">IF($C148-P$1&lt;År1,0,O147*(1-VLOOKUP($A148,[1]Hugst!$R$5:$W$9,MATCH(ROUNDUP((P$1)/10,0)*10,[1]Hugst!$R$4:$W$4,0))))</f>
        <v>512.08334504946833</v>
      </c>
      <c r="Q148" s="168">
        <f ca="1">IF($C148-Q$1&lt;År1,0,P147*(1-VLOOKUP($A148,[1]Hugst!$R$5:$W$9,MATCH(ROUNDUP((Q$1)/10,0)*10,[1]Hugst!$R$4:$W$4,0))))</f>
        <v>514.65662819039426</v>
      </c>
      <c r="R148" s="168">
        <f ca="1">IF($C148-R$1&lt;År1,0,Q147*(1-VLOOKUP($A148,[1]Hugst!$R$5:$W$9,MATCH(ROUNDUP((R$1)/10,0)*10,[1]Hugst!$R$4:$W$4,0))))</f>
        <v>517.24284240244015</v>
      </c>
      <c r="S148" s="168">
        <f ca="1">IF($C148-S$1&lt;År1,0,R147*(1-VLOOKUP($A148,[1]Hugst!$R$5:$W$9,MATCH(ROUNDUP((S$1)/10,0)*10,[1]Hugst!$R$4:$W$4,0))))</f>
        <v>519.84205266574281</v>
      </c>
      <c r="T148" s="168">
        <f ca="1">IF($C148-T$1&lt;År1,0,S147*(1-VLOOKUP($A148,[1]Hugst!$R$5:$W$9,MATCH(ROUNDUP((T$1)/10,0)*10,[1]Hugst!$R$4:$W$4,0))))</f>
        <v>522.45432428720233</v>
      </c>
      <c r="U148" s="168">
        <f ca="1">IF($C148-U$1&lt;År1,0,T147*(1-VLOOKUP($A148,[1]Hugst!$R$5:$W$9,MATCH(ROUNDUP((U$1)/10,0)*10,[1]Hugst!$R$4:$W$4,0))))</f>
        <v>525.07972290170437</v>
      </c>
      <c r="V148" s="168">
        <f ca="1">IF($C148-V$1&lt;År1,0,U147*(1-VLOOKUP($A148,[1]Hugst!$R$5:$W$9,MATCH(ROUNDUP((V$1)/10,0)*10,[1]Hugst!$R$4:$W$4,0))))</f>
        <v>527.71831447407021</v>
      </c>
      <c r="W148" s="168">
        <f ca="1">IF($C148-W$1&lt;År1,0,V147*(1-VLOOKUP($A148,[1]Hugst!$R$5:$W$9,MATCH(ROUNDUP((W$1)/10,0)*10,[1]Hugst!$R$4:$W$4,0))))</f>
        <v>530.37016530057008</v>
      </c>
      <c r="X148" s="168">
        <f ca="1">IF($C148-X$1&lt;År1,0,W147*(1-VLOOKUP($A148,[1]Hugst!$R$5:$W$9,MATCH(ROUNDUP((X$1)/10,0)*10,[1]Hugst!$R$4:$W$4,0))))</f>
        <v>533.03534201062575</v>
      </c>
      <c r="Y148" s="168">
        <f ca="1">IF($C148-Y$1&lt;År1,0,X147*(1-VLOOKUP($A148,[1]Hugst!$R$5:$W$9,MATCH(ROUNDUP((Y$1)/10,0)*10,[1]Hugst!$R$4:$W$4,0))))</f>
        <v>535.71391156846948</v>
      </c>
      <c r="Z148" s="168">
        <f ca="1">IF($C148-Z$1&lt;År1,0,Y147*(1-VLOOKUP($A148,[1]Hugst!$R$5:$W$9,MATCH(ROUNDUP((Z$1)/10,0)*10,[1]Hugst!$R$4:$W$4,0))))</f>
        <v>538.40594127484655</v>
      </c>
      <c r="AA148" s="168">
        <f ca="1">IF($C148-AA$1&lt;År1,0,Z147*(1-VLOOKUP($A148,[1]Hugst!$R$5:$W$9,MATCH(ROUNDUP((AA$1)/10,0)*10,[1]Hugst!$R$4:$W$4,0))))</f>
        <v>541.11149876867421</v>
      </c>
      <c r="AB148" s="168">
        <f ca="1">IF($C148-AB$1&lt;År1,0,AA147*(1-VLOOKUP($A148,[1]Hugst!$R$5:$W$9,MATCH(ROUNDUP((AB$1)/10,0)*10,[1]Hugst!$R$4:$W$4,0))))</f>
        <v>543.83065202883154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176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484.61241883374169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484.61241883374169</v>
      </c>
      <c r="G149" s="168">
        <f ca="1">IF($C149-G$1&lt;År1,0,F148*(1-VLOOKUP($A149,[1]Hugst!$R$5:$W$9,MATCH(ROUNDUP((G$1)/10,0)*10,[1]Hugst!$R$4:$W$4,0))))</f>
        <v>487.04765711934306</v>
      </c>
      <c r="H149" s="168">
        <f ca="1">IF($C149-H$1&lt;År1,0,G148*(1-VLOOKUP($A149,[1]Hugst!$R$5:$W$9,MATCH(ROUNDUP((H$1)/10,0)*10,[1]Hugst!$R$4:$W$4,0))))</f>
        <v>489.49513278326776</v>
      </c>
      <c r="I149" s="168">
        <f ca="1">IF($C149-I$1&lt;År1,0,H148*(1-VLOOKUP($A149,[1]Hugst!$R$5:$W$9,MATCH(ROUNDUP((I$1)/10,0)*10,[1]Hugst!$R$4:$W$4,0))))</f>
        <v>491.95490731985774</v>
      </c>
      <c r="J149" s="168">
        <f ca="1">IF($C149-J$1&lt;År1,0,I148*(1-VLOOKUP($A149,[1]Hugst!$R$5:$W$9,MATCH(ROUNDUP((J$1)/10,0)*10,[1]Hugst!$R$4:$W$4,0))))</f>
        <v>494.42704253250849</v>
      </c>
      <c r="K149" s="168">
        <f ca="1">IF($C149-K$1&lt;År1,0,J148*(1-VLOOKUP($A149,[1]Hugst!$R$5:$W$9,MATCH(ROUNDUP((K$1)/10,0)*10,[1]Hugst!$R$4:$W$4,0))))</f>
        <v>496.91160053521162</v>
      </c>
      <c r="L149" s="168">
        <f ca="1">IF($C149-L$1&lt;År1,0,K148*(1-VLOOKUP($A149,[1]Hugst!$R$5:$W$9,MATCH(ROUNDUP((L$1)/10,0)*10,[1]Hugst!$R$4:$W$4,0))))</f>
        <v>499.40864375396632</v>
      </c>
      <c r="M149" s="168">
        <f ca="1">IF($C149-M$1&lt;År1,0,L148*(1-VLOOKUP($A149,[1]Hugst!$R$5:$W$9,MATCH(ROUNDUP((M$1)/10,0)*10,[1]Hugst!$R$4:$W$4,0))))</f>
        <v>501.91823492861295</v>
      </c>
      <c r="N149" s="168">
        <f ca="1">IF($C149-N$1&lt;År1,0,M148*(1-VLOOKUP($A149,[1]Hugst!$R$5:$W$9,MATCH(ROUNDUP((N$1)/10,0)*10,[1]Hugst!$R$4:$W$4,0))))</f>
        <v>504.44043711418635</v>
      </c>
      <c r="O149" s="168">
        <f ca="1">IF($C149-O$1&lt;År1,0,N148*(1-VLOOKUP($A149,[1]Hugst!$R$5:$W$9,MATCH(ROUNDUP((O$1)/10,0)*10,[1]Hugst!$R$4:$W$4,0))))</f>
        <v>506.97531368258933</v>
      </c>
      <c r="P149" s="168">
        <f ca="1">IF($C149-P$1&lt;År1,0,O148*(1-VLOOKUP($A149,[1]Hugst!$R$5:$W$9,MATCH(ROUNDUP((P$1)/10,0)*10,[1]Hugst!$R$4:$W$4,0))))</f>
        <v>509.5229283242079</v>
      </c>
      <c r="Q149" s="168">
        <f ca="1">IF($C149-Q$1&lt;År1,0,P148*(1-VLOOKUP($A149,[1]Hugst!$R$5:$W$9,MATCH(ROUNDUP((Q$1)/10,0)*10,[1]Hugst!$R$4:$W$4,0))))</f>
        <v>512.08334504946833</v>
      </c>
      <c r="R149" s="168">
        <f ca="1">IF($C149-R$1&lt;År1,0,Q148*(1-VLOOKUP($A149,[1]Hugst!$R$5:$W$9,MATCH(ROUNDUP((R$1)/10,0)*10,[1]Hugst!$R$4:$W$4,0))))</f>
        <v>514.65662819039426</v>
      </c>
      <c r="S149" s="168">
        <f ca="1">IF($C149-S$1&lt;År1,0,R148*(1-VLOOKUP($A149,[1]Hugst!$R$5:$W$9,MATCH(ROUNDUP((S$1)/10,0)*10,[1]Hugst!$R$4:$W$4,0))))</f>
        <v>517.24284240244015</v>
      </c>
      <c r="T149" s="168">
        <f ca="1">IF($C149-T$1&lt;År1,0,S148*(1-VLOOKUP($A149,[1]Hugst!$R$5:$W$9,MATCH(ROUNDUP((T$1)/10,0)*10,[1]Hugst!$R$4:$W$4,0))))</f>
        <v>519.84205266574281</v>
      </c>
      <c r="U149" s="168">
        <f ca="1">IF($C149-U$1&lt;År1,0,T148*(1-VLOOKUP($A149,[1]Hugst!$R$5:$W$9,MATCH(ROUNDUP((U$1)/10,0)*10,[1]Hugst!$R$4:$W$4,0))))</f>
        <v>522.45432428720233</v>
      </c>
      <c r="V149" s="168">
        <f ca="1">IF($C149-V$1&lt;År1,0,U148*(1-VLOOKUP($A149,[1]Hugst!$R$5:$W$9,MATCH(ROUNDUP((V$1)/10,0)*10,[1]Hugst!$R$4:$W$4,0))))</f>
        <v>525.07972290170437</v>
      </c>
      <c r="W149" s="168">
        <f ca="1">IF($C149-W$1&lt;År1,0,V148*(1-VLOOKUP($A149,[1]Hugst!$R$5:$W$9,MATCH(ROUNDUP((W$1)/10,0)*10,[1]Hugst!$R$4:$W$4,0))))</f>
        <v>527.71831447407021</v>
      </c>
      <c r="X149" s="168">
        <f ca="1">IF($C149-X$1&lt;År1,0,W148*(1-VLOOKUP($A149,[1]Hugst!$R$5:$W$9,MATCH(ROUNDUP((X$1)/10,0)*10,[1]Hugst!$R$4:$W$4,0))))</f>
        <v>530.37016530057008</v>
      </c>
      <c r="Y149" s="168">
        <f ca="1">IF($C149-Y$1&lt;År1,0,X148*(1-VLOOKUP($A149,[1]Hugst!$R$5:$W$9,MATCH(ROUNDUP((Y$1)/10,0)*10,[1]Hugst!$R$4:$W$4,0))))</f>
        <v>533.03534201062575</v>
      </c>
      <c r="Z149" s="168">
        <f ca="1">IF($C149-Z$1&lt;År1,0,Y148*(1-VLOOKUP($A149,[1]Hugst!$R$5:$W$9,MATCH(ROUNDUP((Z$1)/10,0)*10,[1]Hugst!$R$4:$W$4,0))))</f>
        <v>535.71391156846948</v>
      </c>
      <c r="AA149" s="168">
        <f ca="1">IF($C149-AA$1&lt;År1,0,Z148*(1-VLOOKUP($A149,[1]Hugst!$R$5:$W$9,MATCH(ROUNDUP((AA$1)/10,0)*10,[1]Hugst!$R$4:$W$4,0))))</f>
        <v>538.40594127484655</v>
      </c>
      <c r="AB149" s="168">
        <f ca="1">IF($C149-AB$1&lt;År1,0,AA148*(1-VLOOKUP($A149,[1]Hugst!$R$5:$W$9,MATCH(ROUNDUP((AB$1)/10,0)*10,[1]Hugst!$R$4:$W$4,0))))</f>
        <v>541.11149876867421</v>
      </c>
      <c r="AC149" s="168">
        <f ca="1">IF($C149-AC$1&lt;År1,0,AB148*(1-VLOOKUP($A149,[1]Hugst!$R$5:$W$9,MATCH(ROUNDUP((AC$1)/10,0)*10,[1]Hugst!$R$4:$W$4,0))))</f>
        <v>543.83065202883154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176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482.18935673957458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482.18935673957458</v>
      </c>
      <c r="G150" s="168">
        <f ca="1">IF($C150-G$1&lt;År1,0,F149*(1-VLOOKUP($A150,[1]Hugst!$R$5:$W$9,MATCH(ROUNDUP((G$1)/10,0)*10,[1]Hugst!$R$4:$W$4,0))))</f>
        <v>484.61241883374169</v>
      </c>
      <c r="H150" s="168">
        <f ca="1">IF($C150-H$1&lt;År1,0,G149*(1-VLOOKUP($A150,[1]Hugst!$R$5:$W$9,MATCH(ROUNDUP((H$1)/10,0)*10,[1]Hugst!$R$4:$W$4,0))))</f>
        <v>487.04765711934306</v>
      </c>
      <c r="I150" s="168">
        <f ca="1">IF($C150-I$1&lt;År1,0,H149*(1-VLOOKUP($A150,[1]Hugst!$R$5:$W$9,MATCH(ROUNDUP((I$1)/10,0)*10,[1]Hugst!$R$4:$W$4,0))))</f>
        <v>489.49513278326776</v>
      </c>
      <c r="J150" s="168">
        <f ca="1">IF($C150-J$1&lt;År1,0,I149*(1-VLOOKUP($A150,[1]Hugst!$R$5:$W$9,MATCH(ROUNDUP((J$1)/10,0)*10,[1]Hugst!$R$4:$W$4,0))))</f>
        <v>491.95490731985774</v>
      </c>
      <c r="K150" s="168">
        <f ca="1">IF($C150-K$1&lt;År1,0,J149*(1-VLOOKUP($A150,[1]Hugst!$R$5:$W$9,MATCH(ROUNDUP((K$1)/10,0)*10,[1]Hugst!$R$4:$W$4,0))))</f>
        <v>494.42704253250849</v>
      </c>
      <c r="L150" s="168">
        <f ca="1">IF($C150-L$1&lt;År1,0,K149*(1-VLOOKUP($A150,[1]Hugst!$R$5:$W$9,MATCH(ROUNDUP((L$1)/10,0)*10,[1]Hugst!$R$4:$W$4,0))))</f>
        <v>496.91160053521162</v>
      </c>
      <c r="M150" s="168">
        <f ca="1">IF($C150-M$1&lt;År1,0,L149*(1-VLOOKUP($A150,[1]Hugst!$R$5:$W$9,MATCH(ROUNDUP((M$1)/10,0)*10,[1]Hugst!$R$4:$W$4,0))))</f>
        <v>499.40864375396632</v>
      </c>
      <c r="N150" s="168">
        <f ca="1">IF($C150-N$1&lt;År1,0,M149*(1-VLOOKUP($A150,[1]Hugst!$R$5:$W$9,MATCH(ROUNDUP((N$1)/10,0)*10,[1]Hugst!$R$4:$W$4,0))))</f>
        <v>501.91823492861295</v>
      </c>
      <c r="O150" s="168">
        <f ca="1">IF($C150-O$1&lt;År1,0,N149*(1-VLOOKUP($A150,[1]Hugst!$R$5:$W$9,MATCH(ROUNDUP((O$1)/10,0)*10,[1]Hugst!$R$4:$W$4,0))))</f>
        <v>504.44043711418635</v>
      </c>
      <c r="P150" s="168">
        <f ca="1">IF($C150-P$1&lt;År1,0,O149*(1-VLOOKUP($A150,[1]Hugst!$R$5:$W$9,MATCH(ROUNDUP((P$1)/10,0)*10,[1]Hugst!$R$4:$W$4,0))))</f>
        <v>506.97531368258933</v>
      </c>
      <c r="Q150" s="168">
        <f ca="1">IF($C150-Q$1&lt;År1,0,P149*(1-VLOOKUP($A150,[1]Hugst!$R$5:$W$9,MATCH(ROUNDUP((Q$1)/10,0)*10,[1]Hugst!$R$4:$W$4,0))))</f>
        <v>509.5229283242079</v>
      </c>
      <c r="R150" s="168">
        <f ca="1">IF($C150-R$1&lt;År1,0,Q149*(1-VLOOKUP($A150,[1]Hugst!$R$5:$W$9,MATCH(ROUNDUP((R$1)/10,0)*10,[1]Hugst!$R$4:$W$4,0))))</f>
        <v>512.08334504946833</v>
      </c>
      <c r="S150" s="168">
        <f ca="1">IF($C150-S$1&lt;År1,0,R149*(1-VLOOKUP($A150,[1]Hugst!$R$5:$W$9,MATCH(ROUNDUP((S$1)/10,0)*10,[1]Hugst!$R$4:$W$4,0))))</f>
        <v>514.65662819039426</v>
      </c>
      <c r="T150" s="168">
        <f ca="1">IF($C150-T$1&lt;År1,0,S149*(1-VLOOKUP($A150,[1]Hugst!$R$5:$W$9,MATCH(ROUNDUP((T$1)/10,0)*10,[1]Hugst!$R$4:$W$4,0))))</f>
        <v>517.24284240244015</v>
      </c>
      <c r="U150" s="168">
        <f ca="1">IF($C150-U$1&lt;År1,0,T149*(1-VLOOKUP($A150,[1]Hugst!$R$5:$W$9,MATCH(ROUNDUP((U$1)/10,0)*10,[1]Hugst!$R$4:$W$4,0))))</f>
        <v>519.84205266574281</v>
      </c>
      <c r="V150" s="168">
        <f ca="1">IF($C150-V$1&lt;År1,0,U149*(1-VLOOKUP($A150,[1]Hugst!$R$5:$W$9,MATCH(ROUNDUP((V$1)/10,0)*10,[1]Hugst!$R$4:$W$4,0))))</f>
        <v>522.45432428720233</v>
      </c>
      <c r="W150" s="168">
        <f ca="1">IF($C150-W$1&lt;År1,0,V149*(1-VLOOKUP($A150,[1]Hugst!$R$5:$W$9,MATCH(ROUNDUP((W$1)/10,0)*10,[1]Hugst!$R$4:$W$4,0))))</f>
        <v>525.07972290170437</v>
      </c>
      <c r="X150" s="168">
        <f ca="1">IF($C150-X$1&lt;År1,0,W149*(1-VLOOKUP($A150,[1]Hugst!$R$5:$W$9,MATCH(ROUNDUP((X$1)/10,0)*10,[1]Hugst!$R$4:$W$4,0))))</f>
        <v>527.71831447407021</v>
      </c>
      <c r="Y150" s="168">
        <f ca="1">IF($C150-Y$1&lt;År1,0,X149*(1-VLOOKUP($A150,[1]Hugst!$R$5:$W$9,MATCH(ROUNDUP((Y$1)/10,0)*10,[1]Hugst!$R$4:$W$4,0))))</f>
        <v>530.37016530057008</v>
      </c>
      <c r="Z150" s="168">
        <f ca="1">IF($C150-Z$1&lt;År1,0,Y149*(1-VLOOKUP($A150,[1]Hugst!$R$5:$W$9,MATCH(ROUNDUP((Z$1)/10,0)*10,[1]Hugst!$R$4:$W$4,0))))</f>
        <v>533.03534201062575</v>
      </c>
      <c r="AA150" s="168">
        <f ca="1">IF($C150-AA$1&lt;År1,0,Z149*(1-VLOOKUP($A150,[1]Hugst!$R$5:$W$9,MATCH(ROUNDUP((AA$1)/10,0)*10,[1]Hugst!$R$4:$W$4,0))))</f>
        <v>535.71391156846948</v>
      </c>
      <c r="AB150" s="168">
        <f ca="1">IF($C150-AB$1&lt;År1,0,AA149*(1-VLOOKUP($A150,[1]Hugst!$R$5:$W$9,MATCH(ROUNDUP((AB$1)/10,0)*10,[1]Hugst!$R$4:$W$4,0))))</f>
        <v>538.40594127484655</v>
      </c>
      <c r="AC150" s="168">
        <f ca="1">IF($C150-AC$1&lt;År1,0,AB149*(1-VLOOKUP($A150,[1]Hugst!$R$5:$W$9,MATCH(ROUNDUP((AC$1)/10,0)*10,[1]Hugst!$R$4:$W$4,0))))</f>
        <v>541.11149876867421</v>
      </c>
      <c r="AD150" s="168">
        <f ca="1">IF($C150-AD$1&lt;År1,0,AC149*(1-VLOOKUP($A150,[1]Hugst!$R$5:$W$9,MATCH(ROUNDUP((AD$1)/10,0)*10,[1]Hugst!$R$4:$W$4,0))))</f>
        <v>543.83065202883154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176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479.77840995587758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479.77840995587758</v>
      </c>
      <c r="G151" s="168">
        <f ca="1">IF($C151-G$1&lt;År1,0,F150*(1-VLOOKUP($A151,[1]Hugst!$R$5:$W$9,MATCH(ROUNDUP((G$1)/10,0)*10,[1]Hugst!$R$4:$W$4,0))))</f>
        <v>482.18935673957458</v>
      </c>
      <c r="H151" s="168">
        <f ca="1">IF($C151-H$1&lt;År1,0,G150*(1-VLOOKUP($A151,[1]Hugst!$R$5:$W$9,MATCH(ROUNDUP((H$1)/10,0)*10,[1]Hugst!$R$4:$W$4,0))))</f>
        <v>484.61241883374169</v>
      </c>
      <c r="I151" s="168">
        <f ca="1">IF($C151-I$1&lt;År1,0,H150*(1-VLOOKUP($A151,[1]Hugst!$R$5:$W$9,MATCH(ROUNDUP((I$1)/10,0)*10,[1]Hugst!$R$4:$W$4,0))))</f>
        <v>487.04765711934306</v>
      </c>
      <c r="J151" s="168">
        <f ca="1">IF($C151-J$1&lt;År1,0,I150*(1-VLOOKUP($A151,[1]Hugst!$R$5:$W$9,MATCH(ROUNDUP((J$1)/10,0)*10,[1]Hugst!$R$4:$W$4,0))))</f>
        <v>489.49513278326776</v>
      </c>
      <c r="K151" s="168">
        <f ca="1">IF($C151-K$1&lt;År1,0,J150*(1-VLOOKUP($A151,[1]Hugst!$R$5:$W$9,MATCH(ROUNDUP((K$1)/10,0)*10,[1]Hugst!$R$4:$W$4,0))))</f>
        <v>491.95490731985774</v>
      </c>
      <c r="L151" s="168">
        <f ca="1">IF($C151-L$1&lt;År1,0,K150*(1-VLOOKUP($A151,[1]Hugst!$R$5:$W$9,MATCH(ROUNDUP((L$1)/10,0)*10,[1]Hugst!$R$4:$W$4,0))))</f>
        <v>494.42704253250849</v>
      </c>
      <c r="M151" s="168">
        <f ca="1">IF($C151-M$1&lt;År1,0,L150*(1-VLOOKUP($A151,[1]Hugst!$R$5:$W$9,MATCH(ROUNDUP((M$1)/10,0)*10,[1]Hugst!$R$4:$W$4,0))))</f>
        <v>496.91160053521162</v>
      </c>
      <c r="N151" s="168">
        <f ca="1">IF($C151-N$1&lt;År1,0,M150*(1-VLOOKUP($A151,[1]Hugst!$R$5:$W$9,MATCH(ROUNDUP((N$1)/10,0)*10,[1]Hugst!$R$4:$W$4,0))))</f>
        <v>499.40864375396632</v>
      </c>
      <c r="O151" s="168">
        <f ca="1">IF($C151-O$1&lt;År1,0,N150*(1-VLOOKUP($A151,[1]Hugst!$R$5:$W$9,MATCH(ROUNDUP((O$1)/10,0)*10,[1]Hugst!$R$4:$W$4,0))))</f>
        <v>501.91823492861295</v>
      </c>
      <c r="P151" s="168">
        <f ca="1">IF($C151-P$1&lt;År1,0,O150*(1-VLOOKUP($A151,[1]Hugst!$R$5:$W$9,MATCH(ROUNDUP((P$1)/10,0)*10,[1]Hugst!$R$4:$W$4,0))))</f>
        <v>504.44043711418635</v>
      </c>
      <c r="Q151" s="168">
        <f ca="1">IF($C151-Q$1&lt;År1,0,P150*(1-VLOOKUP($A151,[1]Hugst!$R$5:$W$9,MATCH(ROUNDUP((Q$1)/10,0)*10,[1]Hugst!$R$4:$W$4,0))))</f>
        <v>506.97531368258933</v>
      </c>
      <c r="R151" s="168">
        <f ca="1">IF($C151-R$1&lt;År1,0,Q150*(1-VLOOKUP($A151,[1]Hugst!$R$5:$W$9,MATCH(ROUNDUP((R$1)/10,0)*10,[1]Hugst!$R$4:$W$4,0))))</f>
        <v>509.5229283242079</v>
      </c>
      <c r="S151" s="168">
        <f ca="1">IF($C151-S$1&lt;År1,0,R150*(1-VLOOKUP($A151,[1]Hugst!$R$5:$W$9,MATCH(ROUNDUP((S$1)/10,0)*10,[1]Hugst!$R$4:$W$4,0))))</f>
        <v>512.08334504946833</v>
      </c>
      <c r="T151" s="168">
        <f ca="1">IF($C151-T$1&lt;År1,0,S150*(1-VLOOKUP($A151,[1]Hugst!$R$5:$W$9,MATCH(ROUNDUP((T$1)/10,0)*10,[1]Hugst!$R$4:$W$4,0))))</f>
        <v>514.65662819039426</v>
      </c>
      <c r="U151" s="168">
        <f ca="1">IF($C151-U$1&lt;År1,0,T150*(1-VLOOKUP($A151,[1]Hugst!$R$5:$W$9,MATCH(ROUNDUP((U$1)/10,0)*10,[1]Hugst!$R$4:$W$4,0))))</f>
        <v>517.24284240244015</v>
      </c>
      <c r="V151" s="168">
        <f ca="1">IF($C151-V$1&lt;År1,0,U150*(1-VLOOKUP($A151,[1]Hugst!$R$5:$W$9,MATCH(ROUNDUP((V$1)/10,0)*10,[1]Hugst!$R$4:$W$4,0))))</f>
        <v>519.84205266574281</v>
      </c>
      <c r="W151" s="168">
        <f ca="1">IF($C151-W$1&lt;År1,0,V150*(1-VLOOKUP($A151,[1]Hugst!$R$5:$W$9,MATCH(ROUNDUP((W$1)/10,0)*10,[1]Hugst!$R$4:$W$4,0))))</f>
        <v>522.45432428720233</v>
      </c>
      <c r="X151" s="168">
        <f ca="1">IF($C151-X$1&lt;År1,0,W150*(1-VLOOKUP($A151,[1]Hugst!$R$5:$W$9,MATCH(ROUNDUP((X$1)/10,0)*10,[1]Hugst!$R$4:$W$4,0))))</f>
        <v>525.07972290170437</v>
      </c>
      <c r="Y151" s="168">
        <f ca="1">IF($C151-Y$1&lt;År1,0,X150*(1-VLOOKUP($A151,[1]Hugst!$R$5:$W$9,MATCH(ROUNDUP((Y$1)/10,0)*10,[1]Hugst!$R$4:$W$4,0))))</f>
        <v>527.71831447407021</v>
      </c>
      <c r="Z151" s="168">
        <f ca="1">IF($C151-Z$1&lt;År1,0,Y150*(1-VLOOKUP($A151,[1]Hugst!$R$5:$W$9,MATCH(ROUNDUP((Z$1)/10,0)*10,[1]Hugst!$R$4:$W$4,0))))</f>
        <v>530.37016530057008</v>
      </c>
      <c r="AA151" s="168">
        <f ca="1">IF($C151-AA$1&lt;År1,0,Z150*(1-VLOOKUP($A151,[1]Hugst!$R$5:$W$9,MATCH(ROUNDUP((AA$1)/10,0)*10,[1]Hugst!$R$4:$W$4,0))))</f>
        <v>533.03534201062575</v>
      </c>
      <c r="AB151" s="168">
        <f ca="1">IF($C151-AB$1&lt;År1,0,AA150*(1-VLOOKUP($A151,[1]Hugst!$R$5:$W$9,MATCH(ROUNDUP((AB$1)/10,0)*10,[1]Hugst!$R$4:$W$4,0))))</f>
        <v>535.71391156846948</v>
      </c>
      <c r="AC151" s="168">
        <f ca="1">IF($C151-AC$1&lt;År1,0,AB150*(1-VLOOKUP($A151,[1]Hugst!$R$5:$W$9,MATCH(ROUNDUP((AC$1)/10,0)*10,[1]Hugst!$R$4:$W$4,0))))</f>
        <v>538.40594127484655</v>
      </c>
      <c r="AD151" s="168">
        <f ca="1">IF($C151-AD$1&lt;År1,0,AC150*(1-VLOOKUP($A151,[1]Hugst!$R$5:$W$9,MATCH(ROUNDUP((AD$1)/10,0)*10,[1]Hugst!$R$4:$W$4,0))))</f>
        <v>541.11149876867421</v>
      </c>
      <c r="AE151" s="168">
        <f ca="1">IF($C151-AE$1&lt;År1,0,AD150*(1-VLOOKUP($A151,[1]Hugst!$R$5:$W$9,MATCH(ROUNDUP((AE$1)/10,0)*10,[1]Hugst!$R$4:$W$4,0))))</f>
        <v>543.83065202883154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176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477.3795179061126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477.3795179061126</v>
      </c>
      <c r="G152" s="168">
        <f ca="1">IF($C152-G$1&lt;År1,0,F151*(1-VLOOKUP($A152,[1]Hugst!$R$5:$W$9,MATCH(ROUNDUP((G$1)/10,0)*10,[1]Hugst!$R$4:$W$4,0))))</f>
        <v>479.77840995587758</v>
      </c>
      <c r="H152" s="168">
        <f ca="1">IF($C152-H$1&lt;År1,0,G151*(1-VLOOKUP($A152,[1]Hugst!$R$5:$W$9,MATCH(ROUNDUP((H$1)/10,0)*10,[1]Hugst!$R$4:$W$4,0))))</f>
        <v>482.18935673957458</v>
      </c>
      <c r="I152" s="168">
        <f ca="1">IF($C152-I$1&lt;År1,0,H151*(1-VLOOKUP($A152,[1]Hugst!$R$5:$W$9,MATCH(ROUNDUP((I$1)/10,0)*10,[1]Hugst!$R$4:$W$4,0))))</f>
        <v>484.61241883374169</v>
      </c>
      <c r="J152" s="168">
        <f ca="1">IF($C152-J$1&lt;År1,0,I151*(1-VLOOKUP($A152,[1]Hugst!$R$5:$W$9,MATCH(ROUNDUP((J$1)/10,0)*10,[1]Hugst!$R$4:$W$4,0))))</f>
        <v>487.04765711934306</v>
      </c>
      <c r="K152" s="168">
        <f ca="1">IF($C152-K$1&lt;År1,0,J151*(1-VLOOKUP($A152,[1]Hugst!$R$5:$W$9,MATCH(ROUNDUP((K$1)/10,0)*10,[1]Hugst!$R$4:$W$4,0))))</f>
        <v>489.49513278326776</v>
      </c>
      <c r="L152" s="168">
        <f ca="1">IF($C152-L$1&lt;År1,0,K151*(1-VLOOKUP($A152,[1]Hugst!$R$5:$W$9,MATCH(ROUNDUP((L$1)/10,0)*10,[1]Hugst!$R$4:$W$4,0))))</f>
        <v>491.95490731985774</v>
      </c>
      <c r="M152" s="168">
        <f ca="1">IF($C152-M$1&lt;År1,0,L151*(1-VLOOKUP($A152,[1]Hugst!$R$5:$W$9,MATCH(ROUNDUP((M$1)/10,0)*10,[1]Hugst!$R$4:$W$4,0))))</f>
        <v>494.42704253250849</v>
      </c>
      <c r="N152" s="168">
        <f ca="1">IF($C152-N$1&lt;År1,0,M151*(1-VLOOKUP($A152,[1]Hugst!$R$5:$W$9,MATCH(ROUNDUP((N$1)/10,0)*10,[1]Hugst!$R$4:$W$4,0))))</f>
        <v>496.91160053521162</v>
      </c>
      <c r="O152" s="168">
        <f ca="1">IF($C152-O$1&lt;År1,0,N151*(1-VLOOKUP($A152,[1]Hugst!$R$5:$W$9,MATCH(ROUNDUP((O$1)/10,0)*10,[1]Hugst!$R$4:$W$4,0))))</f>
        <v>499.40864375396632</v>
      </c>
      <c r="P152" s="168">
        <f ca="1">IF($C152-P$1&lt;År1,0,O151*(1-VLOOKUP($A152,[1]Hugst!$R$5:$W$9,MATCH(ROUNDUP((P$1)/10,0)*10,[1]Hugst!$R$4:$W$4,0))))</f>
        <v>501.91823492861295</v>
      </c>
      <c r="Q152" s="168">
        <f ca="1">IF($C152-Q$1&lt;År1,0,P151*(1-VLOOKUP($A152,[1]Hugst!$R$5:$W$9,MATCH(ROUNDUP((Q$1)/10,0)*10,[1]Hugst!$R$4:$W$4,0))))</f>
        <v>504.44043711418635</v>
      </c>
      <c r="R152" s="168">
        <f ca="1">IF($C152-R$1&lt;År1,0,Q151*(1-VLOOKUP($A152,[1]Hugst!$R$5:$W$9,MATCH(ROUNDUP((R$1)/10,0)*10,[1]Hugst!$R$4:$W$4,0))))</f>
        <v>506.97531368258933</v>
      </c>
      <c r="S152" s="168">
        <f ca="1">IF($C152-S$1&lt;År1,0,R151*(1-VLOOKUP($A152,[1]Hugst!$R$5:$W$9,MATCH(ROUNDUP((S$1)/10,0)*10,[1]Hugst!$R$4:$W$4,0))))</f>
        <v>509.5229283242079</v>
      </c>
      <c r="T152" s="168">
        <f ca="1">IF($C152-T$1&lt;År1,0,S151*(1-VLOOKUP($A152,[1]Hugst!$R$5:$W$9,MATCH(ROUNDUP((T$1)/10,0)*10,[1]Hugst!$R$4:$W$4,0))))</f>
        <v>512.08334504946833</v>
      </c>
      <c r="U152" s="168">
        <f ca="1">IF($C152-U$1&lt;År1,0,T151*(1-VLOOKUP($A152,[1]Hugst!$R$5:$W$9,MATCH(ROUNDUP((U$1)/10,0)*10,[1]Hugst!$R$4:$W$4,0))))</f>
        <v>514.65662819039426</v>
      </c>
      <c r="V152" s="168">
        <f ca="1">IF($C152-V$1&lt;År1,0,U151*(1-VLOOKUP($A152,[1]Hugst!$R$5:$W$9,MATCH(ROUNDUP((V$1)/10,0)*10,[1]Hugst!$R$4:$W$4,0))))</f>
        <v>517.24284240244015</v>
      </c>
      <c r="W152" s="168">
        <f ca="1">IF($C152-W$1&lt;År1,0,V151*(1-VLOOKUP($A152,[1]Hugst!$R$5:$W$9,MATCH(ROUNDUP((W$1)/10,0)*10,[1]Hugst!$R$4:$W$4,0))))</f>
        <v>519.84205266574281</v>
      </c>
      <c r="X152" s="168">
        <f ca="1">IF($C152-X$1&lt;År1,0,W151*(1-VLOOKUP($A152,[1]Hugst!$R$5:$W$9,MATCH(ROUNDUP((X$1)/10,0)*10,[1]Hugst!$R$4:$W$4,0))))</f>
        <v>522.45432428720233</v>
      </c>
      <c r="Y152" s="168">
        <f ca="1">IF($C152-Y$1&lt;År1,0,X151*(1-VLOOKUP($A152,[1]Hugst!$R$5:$W$9,MATCH(ROUNDUP((Y$1)/10,0)*10,[1]Hugst!$R$4:$W$4,0))))</f>
        <v>525.07972290170437</v>
      </c>
      <c r="Z152" s="168">
        <f ca="1">IF($C152-Z$1&lt;År1,0,Y151*(1-VLOOKUP($A152,[1]Hugst!$R$5:$W$9,MATCH(ROUNDUP((Z$1)/10,0)*10,[1]Hugst!$R$4:$W$4,0))))</f>
        <v>527.71831447407021</v>
      </c>
      <c r="AA152" s="168">
        <f ca="1">IF($C152-AA$1&lt;År1,0,Z151*(1-VLOOKUP($A152,[1]Hugst!$R$5:$W$9,MATCH(ROUNDUP((AA$1)/10,0)*10,[1]Hugst!$R$4:$W$4,0))))</f>
        <v>530.37016530057008</v>
      </c>
      <c r="AB152" s="168">
        <f ca="1">IF($C152-AB$1&lt;År1,0,AA151*(1-VLOOKUP($A152,[1]Hugst!$R$5:$W$9,MATCH(ROUNDUP((AB$1)/10,0)*10,[1]Hugst!$R$4:$W$4,0))))</f>
        <v>533.03534201062575</v>
      </c>
      <c r="AC152" s="168">
        <f ca="1">IF($C152-AC$1&lt;År1,0,AB151*(1-VLOOKUP($A152,[1]Hugst!$R$5:$W$9,MATCH(ROUNDUP((AC$1)/10,0)*10,[1]Hugst!$R$4:$W$4,0))))</f>
        <v>535.71391156846948</v>
      </c>
      <c r="AD152" s="168">
        <f ca="1">IF($C152-AD$1&lt;År1,0,AC151*(1-VLOOKUP($A152,[1]Hugst!$R$5:$W$9,MATCH(ROUNDUP((AD$1)/10,0)*10,[1]Hugst!$R$4:$W$4,0))))</f>
        <v>538.40594127484655</v>
      </c>
      <c r="AE152" s="168">
        <f ca="1">IF($C152-AE$1&lt;År1,0,AD151*(1-VLOOKUP($A152,[1]Hugst!$R$5:$W$9,MATCH(ROUNDUP((AE$1)/10,0)*10,[1]Hugst!$R$4:$W$4,0))))</f>
        <v>541.11149876867421</v>
      </c>
      <c r="AF152" s="168">
        <f ca="1">IF($C152-AF$1&lt;År1,0,AE151*(1-VLOOKUP($A152,[1]Hugst!$R$5:$W$9,MATCH(ROUNDUP((AF$1)/10,0)*10,[1]Hugst!$R$4:$W$4,0))))</f>
        <v>543.83065202883154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176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474.99262031655235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474.99262031655235</v>
      </c>
      <c r="G153" s="168">
        <f ca="1">IF($C153-G$1&lt;År1,0,F152*(1-VLOOKUP($A153,[1]Hugst!$R$5:$W$9,MATCH(ROUNDUP((G$1)/10,0)*10,[1]Hugst!$R$4:$W$4,0))))</f>
        <v>477.3795179061126</v>
      </c>
      <c r="H153" s="168">
        <f ca="1">IF($C153-H$1&lt;År1,0,G152*(1-VLOOKUP($A153,[1]Hugst!$R$5:$W$9,MATCH(ROUNDUP((H$1)/10,0)*10,[1]Hugst!$R$4:$W$4,0))))</f>
        <v>479.77840995587758</v>
      </c>
      <c r="I153" s="168">
        <f ca="1">IF($C153-I$1&lt;År1,0,H152*(1-VLOOKUP($A153,[1]Hugst!$R$5:$W$9,MATCH(ROUNDUP((I$1)/10,0)*10,[1]Hugst!$R$4:$W$4,0))))</f>
        <v>482.18935673957458</v>
      </c>
      <c r="J153" s="168">
        <f ca="1">IF($C153-J$1&lt;År1,0,I152*(1-VLOOKUP($A153,[1]Hugst!$R$5:$W$9,MATCH(ROUNDUP((J$1)/10,0)*10,[1]Hugst!$R$4:$W$4,0))))</f>
        <v>484.61241883374169</v>
      </c>
      <c r="K153" s="168">
        <f ca="1">IF($C153-K$1&lt;År1,0,J152*(1-VLOOKUP($A153,[1]Hugst!$R$5:$W$9,MATCH(ROUNDUP((K$1)/10,0)*10,[1]Hugst!$R$4:$W$4,0))))</f>
        <v>487.04765711934306</v>
      </c>
      <c r="L153" s="168">
        <f ca="1">IF($C153-L$1&lt;År1,0,K152*(1-VLOOKUP($A153,[1]Hugst!$R$5:$W$9,MATCH(ROUNDUP((L$1)/10,0)*10,[1]Hugst!$R$4:$W$4,0))))</f>
        <v>489.49513278326776</v>
      </c>
      <c r="M153" s="168">
        <f ca="1">IF($C153-M$1&lt;År1,0,L152*(1-VLOOKUP($A153,[1]Hugst!$R$5:$W$9,MATCH(ROUNDUP((M$1)/10,0)*10,[1]Hugst!$R$4:$W$4,0))))</f>
        <v>491.95490731985774</v>
      </c>
      <c r="N153" s="168">
        <f ca="1">IF($C153-N$1&lt;År1,0,M152*(1-VLOOKUP($A153,[1]Hugst!$R$5:$W$9,MATCH(ROUNDUP((N$1)/10,0)*10,[1]Hugst!$R$4:$W$4,0))))</f>
        <v>494.42704253250849</v>
      </c>
      <c r="O153" s="168">
        <f ca="1">IF($C153-O$1&lt;År1,0,N152*(1-VLOOKUP($A153,[1]Hugst!$R$5:$W$9,MATCH(ROUNDUP((O$1)/10,0)*10,[1]Hugst!$R$4:$W$4,0))))</f>
        <v>496.91160053521162</v>
      </c>
      <c r="P153" s="168">
        <f ca="1">IF($C153-P$1&lt;År1,0,O152*(1-VLOOKUP($A153,[1]Hugst!$R$5:$W$9,MATCH(ROUNDUP((P$1)/10,0)*10,[1]Hugst!$R$4:$W$4,0))))</f>
        <v>499.40864375396632</v>
      </c>
      <c r="Q153" s="168">
        <f ca="1">IF($C153-Q$1&lt;År1,0,P152*(1-VLOOKUP($A153,[1]Hugst!$R$5:$W$9,MATCH(ROUNDUP((Q$1)/10,0)*10,[1]Hugst!$R$4:$W$4,0))))</f>
        <v>501.91823492861295</v>
      </c>
      <c r="R153" s="168">
        <f ca="1">IF($C153-R$1&lt;År1,0,Q152*(1-VLOOKUP($A153,[1]Hugst!$R$5:$W$9,MATCH(ROUNDUP((R$1)/10,0)*10,[1]Hugst!$R$4:$W$4,0))))</f>
        <v>504.44043711418635</v>
      </c>
      <c r="S153" s="168">
        <f ca="1">IF($C153-S$1&lt;År1,0,R152*(1-VLOOKUP($A153,[1]Hugst!$R$5:$W$9,MATCH(ROUNDUP((S$1)/10,0)*10,[1]Hugst!$R$4:$W$4,0))))</f>
        <v>506.97531368258933</v>
      </c>
      <c r="T153" s="168">
        <f ca="1">IF($C153-T$1&lt;År1,0,S152*(1-VLOOKUP($A153,[1]Hugst!$R$5:$W$9,MATCH(ROUNDUP((T$1)/10,0)*10,[1]Hugst!$R$4:$W$4,0))))</f>
        <v>509.5229283242079</v>
      </c>
      <c r="U153" s="168">
        <f ca="1">IF($C153-U$1&lt;År1,0,T152*(1-VLOOKUP($A153,[1]Hugst!$R$5:$W$9,MATCH(ROUNDUP((U$1)/10,0)*10,[1]Hugst!$R$4:$W$4,0))))</f>
        <v>512.08334504946833</v>
      </c>
      <c r="V153" s="168">
        <f ca="1">IF($C153-V$1&lt;År1,0,U152*(1-VLOOKUP($A153,[1]Hugst!$R$5:$W$9,MATCH(ROUNDUP((V$1)/10,0)*10,[1]Hugst!$R$4:$W$4,0))))</f>
        <v>514.65662819039426</v>
      </c>
      <c r="W153" s="168">
        <f ca="1">IF($C153-W$1&lt;År1,0,V152*(1-VLOOKUP($A153,[1]Hugst!$R$5:$W$9,MATCH(ROUNDUP((W$1)/10,0)*10,[1]Hugst!$R$4:$W$4,0))))</f>
        <v>517.24284240244015</v>
      </c>
      <c r="X153" s="168">
        <f ca="1">IF($C153-X$1&lt;År1,0,W152*(1-VLOOKUP($A153,[1]Hugst!$R$5:$W$9,MATCH(ROUNDUP((X$1)/10,0)*10,[1]Hugst!$R$4:$W$4,0))))</f>
        <v>519.84205266574281</v>
      </c>
      <c r="Y153" s="168">
        <f ca="1">IF($C153-Y$1&lt;År1,0,X152*(1-VLOOKUP($A153,[1]Hugst!$R$5:$W$9,MATCH(ROUNDUP((Y$1)/10,0)*10,[1]Hugst!$R$4:$W$4,0))))</f>
        <v>522.45432428720233</v>
      </c>
      <c r="Z153" s="168">
        <f ca="1">IF($C153-Z$1&lt;År1,0,Y152*(1-VLOOKUP($A153,[1]Hugst!$R$5:$W$9,MATCH(ROUNDUP((Z$1)/10,0)*10,[1]Hugst!$R$4:$W$4,0))))</f>
        <v>525.07972290170437</v>
      </c>
      <c r="AA153" s="168">
        <f ca="1">IF($C153-AA$1&lt;År1,0,Z152*(1-VLOOKUP($A153,[1]Hugst!$R$5:$W$9,MATCH(ROUNDUP((AA$1)/10,0)*10,[1]Hugst!$R$4:$W$4,0))))</f>
        <v>527.71831447407021</v>
      </c>
      <c r="AB153" s="168">
        <f ca="1">IF($C153-AB$1&lt;År1,0,AA152*(1-VLOOKUP($A153,[1]Hugst!$R$5:$W$9,MATCH(ROUNDUP((AB$1)/10,0)*10,[1]Hugst!$R$4:$W$4,0))))</f>
        <v>530.37016530057008</v>
      </c>
      <c r="AC153" s="168">
        <f ca="1">IF($C153-AC$1&lt;År1,0,AB152*(1-VLOOKUP($A153,[1]Hugst!$R$5:$W$9,MATCH(ROUNDUP((AC$1)/10,0)*10,[1]Hugst!$R$4:$W$4,0))))</f>
        <v>533.03534201062575</v>
      </c>
      <c r="AD153" s="168">
        <f ca="1">IF($C153-AD$1&lt;År1,0,AC152*(1-VLOOKUP($A153,[1]Hugst!$R$5:$W$9,MATCH(ROUNDUP((AD$1)/10,0)*10,[1]Hugst!$R$4:$W$4,0))))</f>
        <v>535.71391156846948</v>
      </c>
      <c r="AE153" s="168">
        <f ca="1">IF($C153-AE$1&lt;År1,0,AD152*(1-VLOOKUP($A153,[1]Hugst!$R$5:$W$9,MATCH(ROUNDUP((AE$1)/10,0)*10,[1]Hugst!$R$4:$W$4,0))))</f>
        <v>538.40594127484655</v>
      </c>
      <c r="AF153" s="168">
        <f ca="1">IF($C153-AF$1&lt;År1,0,AE152*(1-VLOOKUP($A153,[1]Hugst!$R$5:$W$9,MATCH(ROUNDUP((AF$1)/10,0)*10,[1]Hugst!$R$4:$W$4,0))))</f>
        <v>541.11149876867421</v>
      </c>
      <c r="AG153" s="168">
        <f ca="1">IF($C153-AG$1&lt;År1,0,AF152*(1-VLOOKUP($A153,[1]Hugst!$R$5:$W$9,MATCH(ROUNDUP((AG$1)/10,0)*10,[1]Hugst!$R$4:$W$4,0))))</f>
        <v>543.83065202883154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176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472.61765721498523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472.61765721498523</v>
      </c>
      <c r="G154" s="168">
        <f ca="1">IF($C154-G$1&lt;År1,0,F153*(1-VLOOKUP($A154,[1]Hugst!$R$5:$W$9,MATCH(ROUNDUP((G$1)/10,0)*10,[1]Hugst!$R$4:$W$4,0))))</f>
        <v>474.99262031655235</v>
      </c>
      <c r="H154" s="168">
        <f ca="1">IF($C154-H$1&lt;År1,0,G153*(1-VLOOKUP($A154,[1]Hugst!$R$5:$W$9,MATCH(ROUNDUP((H$1)/10,0)*10,[1]Hugst!$R$4:$W$4,0))))</f>
        <v>477.3795179061126</v>
      </c>
      <c r="I154" s="168">
        <f ca="1">IF($C154-I$1&lt;År1,0,H153*(1-VLOOKUP($A154,[1]Hugst!$R$5:$W$9,MATCH(ROUNDUP((I$1)/10,0)*10,[1]Hugst!$R$4:$W$4,0))))</f>
        <v>479.77840995587758</v>
      </c>
      <c r="J154" s="168">
        <f ca="1">IF($C154-J$1&lt;År1,0,I153*(1-VLOOKUP($A154,[1]Hugst!$R$5:$W$9,MATCH(ROUNDUP((J$1)/10,0)*10,[1]Hugst!$R$4:$W$4,0))))</f>
        <v>482.18935673957458</v>
      </c>
      <c r="K154" s="168">
        <f ca="1">IF($C154-K$1&lt;År1,0,J153*(1-VLOOKUP($A154,[1]Hugst!$R$5:$W$9,MATCH(ROUNDUP((K$1)/10,0)*10,[1]Hugst!$R$4:$W$4,0))))</f>
        <v>484.61241883374169</v>
      </c>
      <c r="L154" s="168">
        <f ca="1">IF($C154-L$1&lt;År1,0,K153*(1-VLOOKUP($A154,[1]Hugst!$R$5:$W$9,MATCH(ROUNDUP((L$1)/10,0)*10,[1]Hugst!$R$4:$W$4,0))))</f>
        <v>487.04765711934306</v>
      </c>
      <c r="M154" s="168">
        <f ca="1">IF($C154-M$1&lt;År1,0,L153*(1-VLOOKUP($A154,[1]Hugst!$R$5:$W$9,MATCH(ROUNDUP((M$1)/10,0)*10,[1]Hugst!$R$4:$W$4,0))))</f>
        <v>489.49513278326776</v>
      </c>
      <c r="N154" s="168">
        <f ca="1">IF($C154-N$1&lt;År1,0,M153*(1-VLOOKUP($A154,[1]Hugst!$R$5:$W$9,MATCH(ROUNDUP((N$1)/10,0)*10,[1]Hugst!$R$4:$W$4,0))))</f>
        <v>491.95490731985774</v>
      </c>
      <c r="O154" s="168">
        <f ca="1">IF($C154-O$1&lt;År1,0,N153*(1-VLOOKUP($A154,[1]Hugst!$R$5:$W$9,MATCH(ROUNDUP((O$1)/10,0)*10,[1]Hugst!$R$4:$W$4,0))))</f>
        <v>494.42704253250849</v>
      </c>
      <c r="P154" s="168">
        <f ca="1">IF($C154-P$1&lt;År1,0,O153*(1-VLOOKUP($A154,[1]Hugst!$R$5:$W$9,MATCH(ROUNDUP((P$1)/10,0)*10,[1]Hugst!$R$4:$W$4,0))))</f>
        <v>496.91160053521162</v>
      </c>
      <c r="Q154" s="168">
        <f ca="1">IF($C154-Q$1&lt;År1,0,P153*(1-VLOOKUP($A154,[1]Hugst!$R$5:$W$9,MATCH(ROUNDUP((Q$1)/10,0)*10,[1]Hugst!$R$4:$W$4,0))))</f>
        <v>499.40864375396632</v>
      </c>
      <c r="R154" s="168">
        <f ca="1">IF($C154-R$1&lt;År1,0,Q153*(1-VLOOKUP($A154,[1]Hugst!$R$5:$W$9,MATCH(ROUNDUP((R$1)/10,0)*10,[1]Hugst!$R$4:$W$4,0))))</f>
        <v>501.91823492861295</v>
      </c>
      <c r="S154" s="168">
        <f ca="1">IF($C154-S$1&lt;År1,0,R153*(1-VLOOKUP($A154,[1]Hugst!$R$5:$W$9,MATCH(ROUNDUP((S$1)/10,0)*10,[1]Hugst!$R$4:$W$4,0))))</f>
        <v>504.44043711418635</v>
      </c>
      <c r="T154" s="168">
        <f ca="1">IF($C154-T$1&lt;År1,0,S153*(1-VLOOKUP($A154,[1]Hugst!$R$5:$W$9,MATCH(ROUNDUP((T$1)/10,0)*10,[1]Hugst!$R$4:$W$4,0))))</f>
        <v>506.97531368258933</v>
      </c>
      <c r="U154" s="168">
        <f ca="1">IF($C154-U$1&lt;År1,0,T153*(1-VLOOKUP($A154,[1]Hugst!$R$5:$W$9,MATCH(ROUNDUP((U$1)/10,0)*10,[1]Hugst!$R$4:$W$4,0))))</f>
        <v>509.5229283242079</v>
      </c>
      <c r="V154" s="168">
        <f ca="1">IF($C154-V$1&lt;År1,0,U153*(1-VLOOKUP($A154,[1]Hugst!$R$5:$W$9,MATCH(ROUNDUP((V$1)/10,0)*10,[1]Hugst!$R$4:$W$4,0))))</f>
        <v>512.08334504946833</v>
      </c>
      <c r="W154" s="168">
        <f ca="1">IF($C154-W$1&lt;År1,0,V153*(1-VLOOKUP($A154,[1]Hugst!$R$5:$W$9,MATCH(ROUNDUP((W$1)/10,0)*10,[1]Hugst!$R$4:$W$4,0))))</f>
        <v>514.65662819039426</v>
      </c>
      <c r="X154" s="168">
        <f ca="1">IF($C154-X$1&lt;År1,0,W153*(1-VLOOKUP($A154,[1]Hugst!$R$5:$W$9,MATCH(ROUNDUP((X$1)/10,0)*10,[1]Hugst!$R$4:$W$4,0))))</f>
        <v>517.24284240244015</v>
      </c>
      <c r="Y154" s="168">
        <f ca="1">IF($C154-Y$1&lt;År1,0,X153*(1-VLOOKUP($A154,[1]Hugst!$R$5:$W$9,MATCH(ROUNDUP((Y$1)/10,0)*10,[1]Hugst!$R$4:$W$4,0))))</f>
        <v>519.84205266574281</v>
      </c>
      <c r="Z154" s="168">
        <f ca="1">IF($C154-Z$1&lt;År1,0,Y153*(1-VLOOKUP($A154,[1]Hugst!$R$5:$W$9,MATCH(ROUNDUP((Z$1)/10,0)*10,[1]Hugst!$R$4:$W$4,0))))</f>
        <v>522.45432428720233</v>
      </c>
      <c r="AA154" s="168">
        <f ca="1">IF($C154-AA$1&lt;År1,0,Z153*(1-VLOOKUP($A154,[1]Hugst!$R$5:$W$9,MATCH(ROUNDUP((AA$1)/10,0)*10,[1]Hugst!$R$4:$W$4,0))))</f>
        <v>525.07972290170437</v>
      </c>
      <c r="AB154" s="168">
        <f ca="1">IF($C154-AB$1&lt;År1,0,AA153*(1-VLOOKUP($A154,[1]Hugst!$R$5:$W$9,MATCH(ROUNDUP((AB$1)/10,0)*10,[1]Hugst!$R$4:$W$4,0))))</f>
        <v>527.71831447407021</v>
      </c>
      <c r="AC154" s="168">
        <f ca="1">IF($C154-AC$1&lt;År1,0,AB153*(1-VLOOKUP($A154,[1]Hugst!$R$5:$W$9,MATCH(ROUNDUP((AC$1)/10,0)*10,[1]Hugst!$R$4:$W$4,0))))</f>
        <v>530.37016530057008</v>
      </c>
      <c r="AD154" s="168">
        <f ca="1">IF($C154-AD$1&lt;År1,0,AC153*(1-VLOOKUP($A154,[1]Hugst!$R$5:$W$9,MATCH(ROUNDUP((AD$1)/10,0)*10,[1]Hugst!$R$4:$W$4,0))))</f>
        <v>533.03534201062575</v>
      </c>
      <c r="AE154" s="168">
        <f ca="1">IF($C154-AE$1&lt;År1,0,AD153*(1-VLOOKUP($A154,[1]Hugst!$R$5:$W$9,MATCH(ROUNDUP((AE$1)/10,0)*10,[1]Hugst!$R$4:$W$4,0))))</f>
        <v>535.71391156846948</v>
      </c>
      <c r="AF154" s="168">
        <f ca="1">IF($C154-AF$1&lt;År1,0,AE153*(1-VLOOKUP($A154,[1]Hugst!$R$5:$W$9,MATCH(ROUNDUP((AF$1)/10,0)*10,[1]Hugst!$R$4:$W$4,0))))</f>
        <v>538.40594127484655</v>
      </c>
      <c r="AG154" s="168">
        <f ca="1">IF($C154-AG$1&lt;År1,0,AF153*(1-VLOOKUP($A154,[1]Hugst!$R$5:$W$9,MATCH(ROUNDUP((AG$1)/10,0)*10,[1]Hugst!$R$4:$W$4,0))))</f>
        <v>541.11149876867421</v>
      </c>
      <c r="AH154" s="168">
        <f ca="1">IF($C154-AH$1&lt;År1,0,AG153*(1-VLOOKUP($A154,[1]Hugst!$R$5:$W$9,MATCH(ROUNDUP((AH$1)/10,0)*10,[1]Hugst!$R$4:$W$4,0))))</f>
        <v>543.83065202883154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176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470.25456892891089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470.25456892891089</v>
      </c>
      <c r="G155" s="168">
        <f ca="1">IF($C155-G$1&lt;År1,0,F154*(1-VLOOKUP($A155,[1]Hugst!$R$5:$W$9,MATCH(ROUNDUP((G$1)/10,0)*10,[1]Hugst!$R$4:$W$4,0))))</f>
        <v>472.61765721498523</v>
      </c>
      <c r="H155" s="168">
        <f ca="1">IF($C155-H$1&lt;År1,0,G154*(1-VLOOKUP($A155,[1]Hugst!$R$5:$W$9,MATCH(ROUNDUP((H$1)/10,0)*10,[1]Hugst!$R$4:$W$4,0))))</f>
        <v>474.99262031655235</v>
      </c>
      <c r="I155" s="168">
        <f ca="1">IF($C155-I$1&lt;År1,0,H154*(1-VLOOKUP($A155,[1]Hugst!$R$5:$W$9,MATCH(ROUNDUP((I$1)/10,0)*10,[1]Hugst!$R$4:$W$4,0))))</f>
        <v>477.3795179061126</v>
      </c>
      <c r="J155" s="168">
        <f ca="1">IF($C155-J$1&lt;År1,0,I154*(1-VLOOKUP($A155,[1]Hugst!$R$5:$W$9,MATCH(ROUNDUP((J$1)/10,0)*10,[1]Hugst!$R$4:$W$4,0))))</f>
        <v>479.77840995587758</v>
      </c>
      <c r="K155" s="168">
        <f ca="1">IF($C155-K$1&lt;År1,0,J154*(1-VLOOKUP($A155,[1]Hugst!$R$5:$W$9,MATCH(ROUNDUP((K$1)/10,0)*10,[1]Hugst!$R$4:$W$4,0))))</f>
        <v>482.18935673957458</v>
      </c>
      <c r="L155" s="168">
        <f ca="1">IF($C155-L$1&lt;År1,0,K154*(1-VLOOKUP($A155,[1]Hugst!$R$5:$W$9,MATCH(ROUNDUP((L$1)/10,0)*10,[1]Hugst!$R$4:$W$4,0))))</f>
        <v>484.61241883374169</v>
      </c>
      <c r="M155" s="168">
        <f ca="1">IF($C155-M$1&lt;År1,0,L154*(1-VLOOKUP($A155,[1]Hugst!$R$5:$W$9,MATCH(ROUNDUP((M$1)/10,0)*10,[1]Hugst!$R$4:$W$4,0))))</f>
        <v>487.04765711934306</v>
      </c>
      <c r="N155" s="168">
        <f ca="1">IF($C155-N$1&lt;År1,0,M154*(1-VLOOKUP($A155,[1]Hugst!$R$5:$W$9,MATCH(ROUNDUP((N$1)/10,0)*10,[1]Hugst!$R$4:$W$4,0))))</f>
        <v>489.49513278326776</v>
      </c>
      <c r="O155" s="168">
        <f ca="1">IF($C155-O$1&lt;År1,0,N154*(1-VLOOKUP($A155,[1]Hugst!$R$5:$W$9,MATCH(ROUNDUP((O$1)/10,0)*10,[1]Hugst!$R$4:$W$4,0))))</f>
        <v>491.95490731985774</v>
      </c>
      <c r="P155" s="168">
        <f ca="1">IF($C155-P$1&lt;År1,0,O154*(1-VLOOKUP($A155,[1]Hugst!$R$5:$W$9,MATCH(ROUNDUP((P$1)/10,0)*10,[1]Hugst!$R$4:$W$4,0))))</f>
        <v>494.42704253250849</v>
      </c>
      <c r="Q155" s="168">
        <f ca="1">IF($C155-Q$1&lt;År1,0,P154*(1-VLOOKUP($A155,[1]Hugst!$R$5:$W$9,MATCH(ROUNDUP((Q$1)/10,0)*10,[1]Hugst!$R$4:$W$4,0))))</f>
        <v>496.91160053521162</v>
      </c>
      <c r="R155" s="168">
        <f ca="1">IF($C155-R$1&lt;År1,0,Q154*(1-VLOOKUP($A155,[1]Hugst!$R$5:$W$9,MATCH(ROUNDUP((R$1)/10,0)*10,[1]Hugst!$R$4:$W$4,0))))</f>
        <v>499.40864375396632</v>
      </c>
      <c r="S155" s="168">
        <f ca="1">IF($C155-S$1&lt;År1,0,R154*(1-VLOOKUP($A155,[1]Hugst!$R$5:$W$9,MATCH(ROUNDUP((S$1)/10,0)*10,[1]Hugst!$R$4:$W$4,0))))</f>
        <v>501.91823492861295</v>
      </c>
      <c r="T155" s="168">
        <f ca="1">IF($C155-T$1&lt;År1,0,S154*(1-VLOOKUP($A155,[1]Hugst!$R$5:$W$9,MATCH(ROUNDUP((T$1)/10,0)*10,[1]Hugst!$R$4:$W$4,0))))</f>
        <v>504.44043711418635</v>
      </c>
      <c r="U155" s="168">
        <f ca="1">IF($C155-U$1&lt;År1,0,T154*(1-VLOOKUP($A155,[1]Hugst!$R$5:$W$9,MATCH(ROUNDUP((U$1)/10,0)*10,[1]Hugst!$R$4:$W$4,0))))</f>
        <v>506.97531368258933</v>
      </c>
      <c r="V155" s="168">
        <f ca="1">IF($C155-V$1&lt;År1,0,U154*(1-VLOOKUP($A155,[1]Hugst!$R$5:$W$9,MATCH(ROUNDUP((V$1)/10,0)*10,[1]Hugst!$R$4:$W$4,0))))</f>
        <v>509.5229283242079</v>
      </c>
      <c r="W155" s="168">
        <f ca="1">IF($C155-W$1&lt;År1,0,V154*(1-VLOOKUP($A155,[1]Hugst!$R$5:$W$9,MATCH(ROUNDUP((W$1)/10,0)*10,[1]Hugst!$R$4:$W$4,0))))</f>
        <v>512.08334504946833</v>
      </c>
      <c r="X155" s="168">
        <f ca="1">IF($C155-X$1&lt;År1,0,W154*(1-VLOOKUP($A155,[1]Hugst!$R$5:$W$9,MATCH(ROUNDUP((X$1)/10,0)*10,[1]Hugst!$R$4:$W$4,0))))</f>
        <v>514.65662819039426</v>
      </c>
      <c r="Y155" s="168">
        <f ca="1">IF($C155-Y$1&lt;År1,0,X154*(1-VLOOKUP($A155,[1]Hugst!$R$5:$W$9,MATCH(ROUNDUP((Y$1)/10,0)*10,[1]Hugst!$R$4:$W$4,0))))</f>
        <v>517.24284240244015</v>
      </c>
      <c r="Z155" s="168">
        <f ca="1">IF($C155-Z$1&lt;År1,0,Y154*(1-VLOOKUP($A155,[1]Hugst!$R$5:$W$9,MATCH(ROUNDUP((Z$1)/10,0)*10,[1]Hugst!$R$4:$W$4,0))))</f>
        <v>519.84205266574281</v>
      </c>
      <c r="AA155" s="168">
        <f ca="1">IF($C155-AA$1&lt;År1,0,Z154*(1-VLOOKUP($A155,[1]Hugst!$R$5:$W$9,MATCH(ROUNDUP((AA$1)/10,0)*10,[1]Hugst!$R$4:$W$4,0))))</f>
        <v>522.45432428720233</v>
      </c>
      <c r="AB155" s="168">
        <f ca="1">IF($C155-AB$1&lt;År1,0,AA154*(1-VLOOKUP($A155,[1]Hugst!$R$5:$W$9,MATCH(ROUNDUP((AB$1)/10,0)*10,[1]Hugst!$R$4:$W$4,0))))</f>
        <v>525.07972290170437</v>
      </c>
      <c r="AC155" s="168">
        <f ca="1">IF($C155-AC$1&lt;År1,0,AB154*(1-VLOOKUP($A155,[1]Hugst!$R$5:$W$9,MATCH(ROUNDUP((AC$1)/10,0)*10,[1]Hugst!$R$4:$W$4,0))))</f>
        <v>527.71831447407021</v>
      </c>
      <c r="AD155" s="168">
        <f ca="1">IF($C155-AD$1&lt;År1,0,AC154*(1-VLOOKUP($A155,[1]Hugst!$R$5:$W$9,MATCH(ROUNDUP((AD$1)/10,0)*10,[1]Hugst!$R$4:$W$4,0))))</f>
        <v>530.37016530057008</v>
      </c>
      <c r="AE155" s="168">
        <f ca="1">IF($C155-AE$1&lt;År1,0,AD154*(1-VLOOKUP($A155,[1]Hugst!$R$5:$W$9,MATCH(ROUNDUP((AE$1)/10,0)*10,[1]Hugst!$R$4:$W$4,0))))</f>
        <v>533.03534201062575</v>
      </c>
      <c r="AF155" s="168">
        <f ca="1">IF($C155-AF$1&lt;År1,0,AE154*(1-VLOOKUP($A155,[1]Hugst!$R$5:$W$9,MATCH(ROUNDUP((AF$1)/10,0)*10,[1]Hugst!$R$4:$W$4,0))))</f>
        <v>535.71391156846948</v>
      </c>
      <c r="AG155" s="168">
        <f ca="1">IF($C155-AG$1&lt;År1,0,AF154*(1-VLOOKUP($A155,[1]Hugst!$R$5:$W$9,MATCH(ROUNDUP((AG$1)/10,0)*10,[1]Hugst!$R$4:$W$4,0))))</f>
        <v>538.40594127484655</v>
      </c>
      <c r="AH155" s="168">
        <f ca="1">IF($C155-AH$1&lt;År1,0,AG154*(1-VLOOKUP($A155,[1]Hugst!$R$5:$W$9,MATCH(ROUNDUP((AH$1)/10,0)*10,[1]Hugst!$R$4:$W$4,0))))</f>
        <v>541.11149876867421</v>
      </c>
      <c r="AI155" s="168">
        <f ca="1">IF($C155-AI$1&lt;År1,0,AH154*(1-VLOOKUP($A155,[1]Hugst!$R$5:$W$9,MATCH(ROUNDUP((AI$1)/10,0)*10,[1]Hugst!$R$4:$W$4,0))))</f>
        <v>543.83065202883154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176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467.90329608427419</v>
      </c>
      <c r="E156" s="168">
        <f t="shared" ca="1" si="3"/>
        <v>0.98878300368960481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468.89207908796379</v>
      </c>
      <c r="G156" s="168">
        <f ca="1">IF($C156-G$1&lt;År1,0,F155*(1-VLOOKUP($A156,[1]Hugst!$R$5:$W$9,MATCH(ROUNDUP((G$1)/10,0)*10,[1]Hugst!$R$4:$W$4,0))))</f>
        <v>470.25456892891089</v>
      </c>
      <c r="H156" s="168">
        <f ca="1">IF($C156-H$1&lt;År1,0,G155*(1-VLOOKUP($A156,[1]Hugst!$R$5:$W$9,MATCH(ROUNDUP((H$1)/10,0)*10,[1]Hugst!$R$4:$W$4,0))))</f>
        <v>472.61765721498523</v>
      </c>
      <c r="I156" s="168">
        <f ca="1">IF($C156-I$1&lt;År1,0,H155*(1-VLOOKUP($A156,[1]Hugst!$R$5:$W$9,MATCH(ROUNDUP((I$1)/10,0)*10,[1]Hugst!$R$4:$W$4,0))))</f>
        <v>474.99262031655235</v>
      </c>
      <c r="J156" s="168">
        <f ca="1">IF($C156-J$1&lt;År1,0,I155*(1-VLOOKUP($A156,[1]Hugst!$R$5:$W$9,MATCH(ROUNDUP((J$1)/10,0)*10,[1]Hugst!$R$4:$W$4,0))))</f>
        <v>477.3795179061126</v>
      </c>
      <c r="K156" s="168">
        <f ca="1">IF($C156-K$1&lt;År1,0,J155*(1-VLOOKUP($A156,[1]Hugst!$R$5:$W$9,MATCH(ROUNDUP((K$1)/10,0)*10,[1]Hugst!$R$4:$W$4,0))))</f>
        <v>479.77840995587758</v>
      </c>
      <c r="L156" s="168">
        <f ca="1">IF($C156-L$1&lt;År1,0,K155*(1-VLOOKUP($A156,[1]Hugst!$R$5:$W$9,MATCH(ROUNDUP((L$1)/10,0)*10,[1]Hugst!$R$4:$W$4,0))))</f>
        <v>482.18935673957458</v>
      </c>
      <c r="M156" s="168">
        <f ca="1">IF($C156-M$1&lt;År1,0,L155*(1-VLOOKUP($A156,[1]Hugst!$R$5:$W$9,MATCH(ROUNDUP((M$1)/10,0)*10,[1]Hugst!$R$4:$W$4,0))))</f>
        <v>484.61241883374169</v>
      </c>
      <c r="N156" s="168">
        <f ca="1">IF($C156-N$1&lt;År1,0,M155*(1-VLOOKUP($A156,[1]Hugst!$R$5:$W$9,MATCH(ROUNDUP((N$1)/10,0)*10,[1]Hugst!$R$4:$W$4,0))))</f>
        <v>487.04765711934306</v>
      </c>
      <c r="O156" s="168">
        <f ca="1">IF($C156-O$1&lt;År1,0,N155*(1-VLOOKUP($A156,[1]Hugst!$R$5:$W$9,MATCH(ROUNDUP((O$1)/10,0)*10,[1]Hugst!$R$4:$W$4,0))))</f>
        <v>489.49513278326776</v>
      </c>
      <c r="P156" s="168">
        <f ca="1">IF($C156-P$1&lt;År1,0,O155*(1-VLOOKUP($A156,[1]Hugst!$R$5:$W$9,MATCH(ROUNDUP((P$1)/10,0)*10,[1]Hugst!$R$4:$W$4,0))))</f>
        <v>491.95490731985774</v>
      </c>
      <c r="Q156" s="168">
        <f ca="1">IF($C156-Q$1&lt;År1,0,P155*(1-VLOOKUP($A156,[1]Hugst!$R$5:$W$9,MATCH(ROUNDUP((Q$1)/10,0)*10,[1]Hugst!$R$4:$W$4,0))))</f>
        <v>494.42704253250849</v>
      </c>
      <c r="R156" s="168">
        <f ca="1">IF($C156-R$1&lt;År1,0,Q155*(1-VLOOKUP($A156,[1]Hugst!$R$5:$W$9,MATCH(ROUNDUP((R$1)/10,0)*10,[1]Hugst!$R$4:$W$4,0))))</f>
        <v>496.91160053521162</v>
      </c>
      <c r="S156" s="168">
        <f ca="1">IF($C156-S$1&lt;År1,0,R155*(1-VLOOKUP($A156,[1]Hugst!$R$5:$W$9,MATCH(ROUNDUP((S$1)/10,0)*10,[1]Hugst!$R$4:$W$4,0))))</f>
        <v>499.40864375396632</v>
      </c>
      <c r="T156" s="168">
        <f ca="1">IF($C156-T$1&lt;År1,0,S155*(1-VLOOKUP($A156,[1]Hugst!$R$5:$W$9,MATCH(ROUNDUP((T$1)/10,0)*10,[1]Hugst!$R$4:$W$4,0))))</f>
        <v>501.91823492861295</v>
      </c>
      <c r="U156" s="168">
        <f ca="1">IF($C156-U$1&lt;År1,0,T155*(1-VLOOKUP($A156,[1]Hugst!$R$5:$W$9,MATCH(ROUNDUP((U$1)/10,0)*10,[1]Hugst!$R$4:$W$4,0))))</f>
        <v>504.44043711418635</v>
      </c>
      <c r="V156" s="168">
        <f ca="1">IF($C156-V$1&lt;År1,0,U155*(1-VLOOKUP($A156,[1]Hugst!$R$5:$W$9,MATCH(ROUNDUP((V$1)/10,0)*10,[1]Hugst!$R$4:$W$4,0))))</f>
        <v>506.97531368258933</v>
      </c>
      <c r="W156" s="168">
        <f ca="1">IF($C156-W$1&lt;År1,0,V155*(1-VLOOKUP($A156,[1]Hugst!$R$5:$W$9,MATCH(ROUNDUP((W$1)/10,0)*10,[1]Hugst!$R$4:$W$4,0))))</f>
        <v>509.5229283242079</v>
      </c>
      <c r="X156" s="168">
        <f ca="1">IF($C156-X$1&lt;År1,0,W155*(1-VLOOKUP($A156,[1]Hugst!$R$5:$W$9,MATCH(ROUNDUP((X$1)/10,0)*10,[1]Hugst!$R$4:$W$4,0))))</f>
        <v>512.08334504946833</v>
      </c>
      <c r="Y156" s="168">
        <f ca="1">IF($C156-Y$1&lt;År1,0,X155*(1-VLOOKUP($A156,[1]Hugst!$R$5:$W$9,MATCH(ROUNDUP((Y$1)/10,0)*10,[1]Hugst!$R$4:$W$4,0))))</f>
        <v>514.65662819039426</v>
      </c>
      <c r="Z156" s="168">
        <f ca="1">IF($C156-Z$1&lt;År1,0,Y155*(1-VLOOKUP($A156,[1]Hugst!$R$5:$W$9,MATCH(ROUNDUP((Z$1)/10,0)*10,[1]Hugst!$R$4:$W$4,0))))</f>
        <v>517.24284240244015</v>
      </c>
      <c r="AA156" s="168">
        <f ca="1">IF($C156-AA$1&lt;År1,0,Z155*(1-VLOOKUP($A156,[1]Hugst!$R$5:$W$9,MATCH(ROUNDUP((AA$1)/10,0)*10,[1]Hugst!$R$4:$W$4,0))))</f>
        <v>519.84205266574281</v>
      </c>
      <c r="AB156" s="168">
        <f ca="1">IF($C156-AB$1&lt;År1,0,AA155*(1-VLOOKUP($A156,[1]Hugst!$R$5:$W$9,MATCH(ROUNDUP((AB$1)/10,0)*10,[1]Hugst!$R$4:$W$4,0))))</f>
        <v>522.45432428720233</v>
      </c>
      <c r="AC156" s="168">
        <f ca="1">IF($C156-AC$1&lt;År1,0,AB155*(1-VLOOKUP($A156,[1]Hugst!$R$5:$W$9,MATCH(ROUNDUP((AC$1)/10,0)*10,[1]Hugst!$R$4:$W$4,0))))</f>
        <v>525.07972290170437</v>
      </c>
      <c r="AD156" s="168">
        <f ca="1">IF($C156-AD$1&lt;År1,0,AC155*(1-VLOOKUP($A156,[1]Hugst!$R$5:$W$9,MATCH(ROUNDUP((AD$1)/10,0)*10,[1]Hugst!$R$4:$W$4,0))))</f>
        <v>527.71831447407021</v>
      </c>
      <c r="AE156" s="168">
        <f ca="1">IF($C156-AE$1&lt;År1,0,AD155*(1-VLOOKUP($A156,[1]Hugst!$R$5:$W$9,MATCH(ROUNDUP((AE$1)/10,0)*10,[1]Hugst!$R$4:$W$4,0))))</f>
        <v>530.37016530057008</v>
      </c>
      <c r="AF156" s="168">
        <f ca="1">IF($C156-AF$1&lt;År1,0,AE155*(1-VLOOKUP($A156,[1]Hugst!$R$5:$W$9,MATCH(ROUNDUP((AF$1)/10,0)*10,[1]Hugst!$R$4:$W$4,0))))</f>
        <v>533.03534201062575</v>
      </c>
      <c r="AG156" s="168">
        <f ca="1">IF($C156-AG$1&lt;År1,0,AF155*(1-VLOOKUP($A156,[1]Hugst!$R$5:$W$9,MATCH(ROUNDUP((AG$1)/10,0)*10,[1]Hugst!$R$4:$W$4,0))))</f>
        <v>535.71391156846948</v>
      </c>
      <c r="AH156" s="168">
        <f ca="1">IF($C156-AH$1&lt;År1,0,AG155*(1-VLOOKUP($A156,[1]Hugst!$R$5:$W$9,MATCH(ROUNDUP((AH$1)/10,0)*10,[1]Hugst!$R$4:$W$4,0))))</f>
        <v>538.40594127484655</v>
      </c>
      <c r="AI156" s="168">
        <f ca="1">IF($C156-AI$1&lt;År1,0,AH155*(1-VLOOKUP($A156,[1]Hugst!$R$5:$W$9,MATCH(ROUNDUP((AI$1)/10,0)*10,[1]Hugst!$R$4:$W$4,0))))</f>
        <v>541.11149876867421</v>
      </c>
      <c r="AJ156" s="168">
        <f ca="1">IF($C156-AJ$1&lt;År1,0,AI155*(1-VLOOKUP($A156,[1]Hugst!$R$5:$W$9,MATCH(ROUNDUP((AJ$1)/10,0)*10,[1]Hugst!$R$4:$W$4,0))))</f>
        <v>542.84186902514273</v>
      </c>
    </row>
    <row r="157" spans="1:36" x14ac:dyDescent="0.25">
      <c r="A157" s="168" t="s">
        <v>176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159.18184797116919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159.18184797116919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176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158.38593873131322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158.38593873131322</v>
      </c>
      <c r="G158" s="168">
        <f ca="1">IF($C158-G$1&lt;År1,0,F157*(1-VLOOKUP($A158,[1]Hugst!$R$5:$W$9,MATCH(ROUNDUP((G$1)/10,0)*10,[1]Hugst!$R$4:$W$4,0))))</f>
        <v>159.18184797116919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176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157.59400903765709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157.59400903765709</v>
      </c>
      <c r="G159" s="168">
        <f ca="1">IF($C159-G$1&lt;År1,0,F158*(1-VLOOKUP($A159,[1]Hugst!$R$5:$W$9,MATCH(ROUNDUP((G$1)/10,0)*10,[1]Hugst!$R$4:$W$4,0))))</f>
        <v>158.38593873131322</v>
      </c>
      <c r="H159" s="168">
        <f ca="1">IF($C159-H$1&lt;År1,0,G158*(1-VLOOKUP($A159,[1]Hugst!$R$5:$W$9,MATCH(ROUNDUP((H$1)/10,0)*10,[1]Hugst!$R$4:$W$4,0))))</f>
        <v>159.18184797116919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176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156.80603899246489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156.80603899246489</v>
      </c>
      <c r="G160" s="168">
        <f ca="1">IF($C160-G$1&lt;År1,0,F159*(1-VLOOKUP($A160,[1]Hugst!$R$5:$W$9,MATCH(ROUNDUP((G$1)/10,0)*10,[1]Hugst!$R$4:$W$4,0))))</f>
        <v>157.59400903765709</v>
      </c>
      <c r="H160" s="168">
        <f ca="1">IF($C160-H$1&lt;År1,0,G159*(1-VLOOKUP($A160,[1]Hugst!$R$5:$W$9,MATCH(ROUNDUP((H$1)/10,0)*10,[1]Hugst!$R$4:$W$4,0))))</f>
        <v>158.38593873131322</v>
      </c>
      <c r="I160" s="168">
        <f ca="1">IF($C160-I$1&lt;År1,0,H159*(1-VLOOKUP($A160,[1]Hugst!$R$5:$W$9,MATCH(ROUNDUP((I$1)/10,0)*10,[1]Hugst!$R$4:$W$4,0))))</f>
        <v>159.18184797116919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176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156.02200879750671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156.02200879750671</v>
      </c>
      <c r="G161" s="168">
        <f ca="1">IF($C161-G$1&lt;År1,0,F160*(1-VLOOKUP($A161,[1]Hugst!$R$5:$W$9,MATCH(ROUNDUP((G$1)/10,0)*10,[1]Hugst!$R$4:$W$4,0))))</f>
        <v>156.80603899246489</v>
      </c>
      <c r="H161" s="168">
        <f ca="1">IF($C161-H$1&lt;År1,0,G160*(1-VLOOKUP($A161,[1]Hugst!$R$5:$W$9,MATCH(ROUNDUP((H$1)/10,0)*10,[1]Hugst!$R$4:$W$4,0))))</f>
        <v>157.59400903765709</v>
      </c>
      <c r="I161" s="168">
        <f ca="1">IF($C161-I$1&lt;År1,0,H160*(1-VLOOKUP($A161,[1]Hugst!$R$5:$W$9,MATCH(ROUNDUP((I$1)/10,0)*10,[1]Hugst!$R$4:$W$4,0))))</f>
        <v>158.38593873131322</v>
      </c>
      <c r="J161" s="168">
        <f ca="1">IF($C161-J$1&lt;År1,0,I160*(1-VLOOKUP($A161,[1]Hugst!$R$5:$W$9,MATCH(ROUNDUP((J$1)/10,0)*10,[1]Hugst!$R$4:$W$4,0))))</f>
        <v>159.18184797116919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176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155.24189875351658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155.24189875351658</v>
      </c>
      <c r="G162" s="168">
        <f ca="1">IF($C162-G$1&lt;År1,0,F161*(1-VLOOKUP($A162,[1]Hugst!$R$5:$W$9,MATCH(ROUNDUP((G$1)/10,0)*10,[1]Hugst!$R$4:$W$4,0))))</f>
        <v>156.02200879750671</v>
      </c>
      <c r="H162" s="168">
        <f ca="1">IF($C162-H$1&lt;År1,0,G161*(1-VLOOKUP($A162,[1]Hugst!$R$5:$W$9,MATCH(ROUNDUP((H$1)/10,0)*10,[1]Hugst!$R$4:$W$4,0))))</f>
        <v>156.80603899246489</v>
      </c>
      <c r="I162" s="168">
        <f ca="1">IF($C162-I$1&lt;År1,0,H161*(1-VLOOKUP($A162,[1]Hugst!$R$5:$W$9,MATCH(ROUNDUP((I$1)/10,0)*10,[1]Hugst!$R$4:$W$4,0))))</f>
        <v>157.59400903765709</v>
      </c>
      <c r="J162" s="168">
        <f ca="1">IF($C162-J$1&lt;År1,0,I161*(1-VLOOKUP($A162,[1]Hugst!$R$5:$W$9,MATCH(ROUNDUP((J$1)/10,0)*10,[1]Hugst!$R$4:$W$4,0))))</f>
        <v>158.38593873131322</v>
      </c>
      <c r="K162" s="168">
        <f ca="1">IF($C162-K$1&lt;År1,0,J161*(1-VLOOKUP($A162,[1]Hugst!$R$5:$W$9,MATCH(ROUNDUP((K$1)/10,0)*10,[1]Hugst!$R$4:$W$4,0))))</f>
        <v>159.18184797116919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176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154.46568925975589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154.46568925975589</v>
      </c>
      <c r="G163" s="168">
        <f ca="1">IF($C163-G$1&lt;År1,0,F162*(1-VLOOKUP($A163,[1]Hugst!$R$5:$W$9,MATCH(ROUNDUP((G$1)/10,0)*10,[1]Hugst!$R$4:$W$4,0))))</f>
        <v>155.24189875351658</v>
      </c>
      <c r="H163" s="168">
        <f ca="1">IF($C163-H$1&lt;År1,0,G162*(1-VLOOKUP($A163,[1]Hugst!$R$5:$W$9,MATCH(ROUNDUP((H$1)/10,0)*10,[1]Hugst!$R$4:$W$4,0))))</f>
        <v>156.02200879750671</v>
      </c>
      <c r="I163" s="168">
        <f ca="1">IF($C163-I$1&lt;År1,0,H162*(1-VLOOKUP($A163,[1]Hugst!$R$5:$W$9,MATCH(ROUNDUP((I$1)/10,0)*10,[1]Hugst!$R$4:$W$4,0))))</f>
        <v>156.80603899246489</v>
      </c>
      <c r="J163" s="168">
        <f ca="1">IF($C163-J$1&lt;År1,0,I162*(1-VLOOKUP($A163,[1]Hugst!$R$5:$W$9,MATCH(ROUNDUP((J$1)/10,0)*10,[1]Hugst!$R$4:$W$4,0))))</f>
        <v>157.59400903765709</v>
      </c>
      <c r="K163" s="168">
        <f ca="1">IF($C163-K$1&lt;År1,0,J162*(1-VLOOKUP($A163,[1]Hugst!$R$5:$W$9,MATCH(ROUNDUP((K$1)/10,0)*10,[1]Hugst!$R$4:$W$4,0))))</f>
        <v>158.38593873131322</v>
      </c>
      <c r="L163" s="168">
        <f ca="1">IF($C163-L$1&lt;År1,0,K162*(1-VLOOKUP($A163,[1]Hugst!$R$5:$W$9,MATCH(ROUNDUP((L$1)/10,0)*10,[1]Hugst!$R$4:$W$4,0))))</f>
        <v>159.18184797116919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176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153.69336081344954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153.69336081344954</v>
      </c>
      <c r="G164" s="168">
        <f ca="1">IF($C164-G$1&lt;År1,0,F163*(1-VLOOKUP($A164,[1]Hugst!$R$5:$W$9,MATCH(ROUNDUP((G$1)/10,0)*10,[1]Hugst!$R$4:$W$4,0))))</f>
        <v>154.46568925975589</v>
      </c>
      <c r="H164" s="168">
        <f ca="1">IF($C164-H$1&lt;År1,0,G163*(1-VLOOKUP($A164,[1]Hugst!$R$5:$W$9,MATCH(ROUNDUP((H$1)/10,0)*10,[1]Hugst!$R$4:$W$4,0))))</f>
        <v>155.24189875351658</v>
      </c>
      <c r="I164" s="168">
        <f ca="1">IF($C164-I$1&lt;År1,0,H163*(1-VLOOKUP($A164,[1]Hugst!$R$5:$W$9,MATCH(ROUNDUP((I$1)/10,0)*10,[1]Hugst!$R$4:$W$4,0))))</f>
        <v>156.02200879750671</v>
      </c>
      <c r="J164" s="168">
        <f ca="1">IF($C164-J$1&lt;År1,0,I163*(1-VLOOKUP($A164,[1]Hugst!$R$5:$W$9,MATCH(ROUNDUP((J$1)/10,0)*10,[1]Hugst!$R$4:$W$4,0))))</f>
        <v>156.80603899246489</v>
      </c>
      <c r="K164" s="168">
        <f ca="1">IF($C164-K$1&lt;År1,0,J163*(1-VLOOKUP($A164,[1]Hugst!$R$5:$W$9,MATCH(ROUNDUP((K$1)/10,0)*10,[1]Hugst!$R$4:$W$4,0))))</f>
        <v>157.59400903765709</v>
      </c>
      <c r="L164" s="168">
        <f ca="1">IF($C164-L$1&lt;År1,0,K163*(1-VLOOKUP($A164,[1]Hugst!$R$5:$W$9,MATCH(ROUNDUP((L$1)/10,0)*10,[1]Hugst!$R$4:$W$4,0))))</f>
        <v>158.38593873131322</v>
      </c>
      <c r="M164" s="168">
        <f ca="1">IF($C164-M$1&lt;År1,0,L163*(1-VLOOKUP($A164,[1]Hugst!$R$5:$W$9,MATCH(ROUNDUP((M$1)/10,0)*10,[1]Hugst!$R$4:$W$4,0))))</f>
        <v>159.18184797116919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176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152.92489400938575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152.92489400938575</v>
      </c>
      <c r="G165" s="168">
        <f ca="1">IF($C165-G$1&lt;År1,0,F164*(1-VLOOKUP($A165,[1]Hugst!$R$5:$W$9,MATCH(ROUNDUP((G$1)/10,0)*10,[1]Hugst!$R$4:$W$4,0))))</f>
        <v>153.69336081344954</v>
      </c>
      <c r="H165" s="168">
        <f ca="1">IF($C165-H$1&lt;År1,0,G164*(1-VLOOKUP($A165,[1]Hugst!$R$5:$W$9,MATCH(ROUNDUP((H$1)/10,0)*10,[1]Hugst!$R$4:$W$4,0))))</f>
        <v>154.46568925975589</v>
      </c>
      <c r="I165" s="168">
        <f ca="1">IF($C165-I$1&lt;År1,0,H164*(1-VLOOKUP($A165,[1]Hugst!$R$5:$W$9,MATCH(ROUNDUP((I$1)/10,0)*10,[1]Hugst!$R$4:$W$4,0))))</f>
        <v>155.24189875351658</v>
      </c>
      <c r="J165" s="168">
        <f ca="1">IF($C165-J$1&lt;År1,0,I164*(1-VLOOKUP($A165,[1]Hugst!$R$5:$W$9,MATCH(ROUNDUP((J$1)/10,0)*10,[1]Hugst!$R$4:$W$4,0))))</f>
        <v>156.02200879750671</v>
      </c>
      <c r="K165" s="168">
        <f ca="1">IF($C165-K$1&lt;År1,0,J164*(1-VLOOKUP($A165,[1]Hugst!$R$5:$W$9,MATCH(ROUNDUP((K$1)/10,0)*10,[1]Hugst!$R$4:$W$4,0))))</f>
        <v>156.80603899246489</v>
      </c>
      <c r="L165" s="168">
        <f ca="1">IF($C165-L$1&lt;År1,0,K164*(1-VLOOKUP($A165,[1]Hugst!$R$5:$W$9,MATCH(ROUNDUP((L$1)/10,0)*10,[1]Hugst!$R$4:$W$4,0))))</f>
        <v>157.59400903765709</v>
      </c>
      <c r="M165" s="168">
        <f ca="1">IF($C165-M$1&lt;År1,0,L164*(1-VLOOKUP($A165,[1]Hugst!$R$5:$W$9,MATCH(ROUNDUP((M$1)/10,0)*10,[1]Hugst!$R$4:$W$4,0))))</f>
        <v>158.38593873131322</v>
      </c>
      <c r="N165" s="168">
        <f ca="1">IF($C165-N$1&lt;År1,0,M164*(1-VLOOKUP($A165,[1]Hugst!$R$5:$W$9,MATCH(ROUNDUP((N$1)/10,0)*10,[1]Hugst!$R$4:$W$4,0))))</f>
        <v>159.18184797116919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176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152.16026953933761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152.16026953933761</v>
      </c>
      <c r="G166" s="168">
        <f ca="1">IF($C166-G$1&lt;År1,0,F165*(1-VLOOKUP($A166,[1]Hugst!$R$5:$W$9,MATCH(ROUNDUP((G$1)/10,0)*10,[1]Hugst!$R$4:$W$4,0))))</f>
        <v>152.92489400938575</v>
      </c>
      <c r="H166" s="168">
        <f ca="1">IF($C166-H$1&lt;År1,0,G165*(1-VLOOKUP($A166,[1]Hugst!$R$5:$W$9,MATCH(ROUNDUP((H$1)/10,0)*10,[1]Hugst!$R$4:$W$4,0))))</f>
        <v>153.69336081344954</v>
      </c>
      <c r="I166" s="168">
        <f ca="1">IF($C166-I$1&lt;År1,0,H165*(1-VLOOKUP($A166,[1]Hugst!$R$5:$W$9,MATCH(ROUNDUP((I$1)/10,0)*10,[1]Hugst!$R$4:$W$4,0))))</f>
        <v>154.46568925975589</v>
      </c>
      <c r="J166" s="168">
        <f ca="1">IF($C166-J$1&lt;År1,0,I165*(1-VLOOKUP($A166,[1]Hugst!$R$5:$W$9,MATCH(ROUNDUP((J$1)/10,0)*10,[1]Hugst!$R$4:$W$4,0))))</f>
        <v>155.24189875351658</v>
      </c>
      <c r="K166" s="168">
        <f ca="1">IF($C166-K$1&lt;År1,0,J165*(1-VLOOKUP($A166,[1]Hugst!$R$5:$W$9,MATCH(ROUNDUP((K$1)/10,0)*10,[1]Hugst!$R$4:$W$4,0))))</f>
        <v>156.02200879750671</v>
      </c>
      <c r="L166" s="168">
        <f ca="1">IF($C166-L$1&lt;År1,0,K165*(1-VLOOKUP($A166,[1]Hugst!$R$5:$W$9,MATCH(ROUNDUP((L$1)/10,0)*10,[1]Hugst!$R$4:$W$4,0))))</f>
        <v>156.80603899246489</v>
      </c>
      <c r="M166" s="168">
        <f ca="1">IF($C166-M$1&lt;År1,0,L165*(1-VLOOKUP($A166,[1]Hugst!$R$5:$W$9,MATCH(ROUNDUP((M$1)/10,0)*10,[1]Hugst!$R$4:$W$4,0))))</f>
        <v>157.59400903765709</v>
      </c>
      <c r="N166" s="168">
        <f ca="1">IF($C166-N$1&lt;År1,0,M165*(1-VLOOKUP($A166,[1]Hugst!$R$5:$W$9,MATCH(ROUNDUP((N$1)/10,0)*10,[1]Hugst!$R$4:$W$4,0))))</f>
        <v>158.38593873131322</v>
      </c>
      <c r="O166" s="168">
        <f ca="1">IF($C166-O$1&lt;År1,0,N165*(1-VLOOKUP($A166,[1]Hugst!$R$5:$W$9,MATCH(ROUNDUP((O$1)/10,0)*10,[1]Hugst!$R$4:$W$4,0))))</f>
        <v>159.18184797116919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176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151.3994681916447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151.3994681916447</v>
      </c>
      <c r="G167" s="168">
        <f ca="1">IF($C167-G$1&lt;År1,0,F166*(1-VLOOKUP($A167,[1]Hugst!$R$5:$W$9,MATCH(ROUNDUP((G$1)/10,0)*10,[1]Hugst!$R$4:$W$4,0))))</f>
        <v>152.16026953933761</v>
      </c>
      <c r="H167" s="168">
        <f ca="1">IF($C167-H$1&lt;År1,0,G166*(1-VLOOKUP($A167,[1]Hugst!$R$5:$W$9,MATCH(ROUNDUP((H$1)/10,0)*10,[1]Hugst!$R$4:$W$4,0))))</f>
        <v>152.92489400938575</v>
      </c>
      <c r="I167" s="168">
        <f ca="1">IF($C167-I$1&lt;År1,0,H166*(1-VLOOKUP($A167,[1]Hugst!$R$5:$W$9,MATCH(ROUNDUP((I$1)/10,0)*10,[1]Hugst!$R$4:$W$4,0))))</f>
        <v>153.69336081344954</v>
      </c>
      <c r="J167" s="168">
        <f ca="1">IF($C167-J$1&lt;År1,0,I166*(1-VLOOKUP($A167,[1]Hugst!$R$5:$W$9,MATCH(ROUNDUP((J$1)/10,0)*10,[1]Hugst!$R$4:$W$4,0))))</f>
        <v>154.46568925975589</v>
      </c>
      <c r="K167" s="168">
        <f ca="1">IF($C167-K$1&lt;År1,0,J166*(1-VLOOKUP($A167,[1]Hugst!$R$5:$W$9,MATCH(ROUNDUP((K$1)/10,0)*10,[1]Hugst!$R$4:$W$4,0))))</f>
        <v>155.24189875351658</v>
      </c>
      <c r="L167" s="168">
        <f ca="1">IF($C167-L$1&lt;År1,0,K166*(1-VLOOKUP($A167,[1]Hugst!$R$5:$W$9,MATCH(ROUNDUP((L$1)/10,0)*10,[1]Hugst!$R$4:$W$4,0))))</f>
        <v>156.02200879750671</v>
      </c>
      <c r="M167" s="168">
        <f ca="1">IF($C167-M$1&lt;År1,0,L166*(1-VLOOKUP($A167,[1]Hugst!$R$5:$W$9,MATCH(ROUNDUP((M$1)/10,0)*10,[1]Hugst!$R$4:$W$4,0))))</f>
        <v>156.80603899246489</v>
      </c>
      <c r="N167" s="168">
        <f ca="1">IF($C167-N$1&lt;År1,0,M166*(1-VLOOKUP($A167,[1]Hugst!$R$5:$W$9,MATCH(ROUNDUP((N$1)/10,0)*10,[1]Hugst!$R$4:$W$4,0))))</f>
        <v>157.59400903765709</v>
      </c>
      <c r="O167" s="168">
        <f ca="1">IF($C167-O$1&lt;År1,0,N166*(1-VLOOKUP($A167,[1]Hugst!$R$5:$W$9,MATCH(ROUNDUP((O$1)/10,0)*10,[1]Hugst!$R$4:$W$4,0))))</f>
        <v>158.38593873131322</v>
      </c>
      <c r="P167" s="168">
        <f ca="1">IF($C167-P$1&lt;År1,0,O166*(1-VLOOKUP($A167,[1]Hugst!$R$5:$W$9,MATCH(ROUNDUP((P$1)/10,0)*10,[1]Hugst!$R$4:$W$4,0))))</f>
        <v>159.18184797116919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176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150.64247085067836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150.64247085067836</v>
      </c>
      <c r="G168" s="168">
        <f ca="1">IF($C168-G$1&lt;År1,0,F167*(1-VLOOKUP($A168,[1]Hugst!$R$5:$W$9,MATCH(ROUNDUP((G$1)/10,0)*10,[1]Hugst!$R$4:$W$4,0))))</f>
        <v>151.3994681916447</v>
      </c>
      <c r="H168" s="168">
        <f ca="1">IF($C168-H$1&lt;År1,0,G167*(1-VLOOKUP($A168,[1]Hugst!$R$5:$W$9,MATCH(ROUNDUP((H$1)/10,0)*10,[1]Hugst!$R$4:$W$4,0))))</f>
        <v>152.16026953933761</v>
      </c>
      <c r="I168" s="168">
        <f ca="1">IF($C168-I$1&lt;År1,0,H167*(1-VLOOKUP($A168,[1]Hugst!$R$5:$W$9,MATCH(ROUNDUP((I$1)/10,0)*10,[1]Hugst!$R$4:$W$4,0))))</f>
        <v>152.92489400938575</v>
      </c>
      <c r="J168" s="168">
        <f ca="1">IF($C168-J$1&lt;År1,0,I167*(1-VLOOKUP($A168,[1]Hugst!$R$5:$W$9,MATCH(ROUNDUP((J$1)/10,0)*10,[1]Hugst!$R$4:$W$4,0))))</f>
        <v>153.69336081344954</v>
      </c>
      <c r="K168" s="168">
        <f ca="1">IF($C168-K$1&lt;År1,0,J167*(1-VLOOKUP($A168,[1]Hugst!$R$5:$W$9,MATCH(ROUNDUP((K$1)/10,0)*10,[1]Hugst!$R$4:$W$4,0))))</f>
        <v>154.46568925975589</v>
      </c>
      <c r="L168" s="168">
        <f ca="1">IF($C168-L$1&lt;År1,0,K167*(1-VLOOKUP($A168,[1]Hugst!$R$5:$W$9,MATCH(ROUNDUP((L$1)/10,0)*10,[1]Hugst!$R$4:$W$4,0))))</f>
        <v>155.24189875351658</v>
      </c>
      <c r="M168" s="168">
        <f ca="1">IF($C168-M$1&lt;År1,0,L167*(1-VLOOKUP($A168,[1]Hugst!$R$5:$W$9,MATCH(ROUNDUP((M$1)/10,0)*10,[1]Hugst!$R$4:$W$4,0))))</f>
        <v>156.02200879750671</v>
      </c>
      <c r="N168" s="168">
        <f ca="1">IF($C168-N$1&lt;År1,0,M167*(1-VLOOKUP($A168,[1]Hugst!$R$5:$W$9,MATCH(ROUNDUP((N$1)/10,0)*10,[1]Hugst!$R$4:$W$4,0))))</f>
        <v>156.80603899246489</v>
      </c>
      <c r="O168" s="168">
        <f ca="1">IF($C168-O$1&lt;År1,0,N167*(1-VLOOKUP($A168,[1]Hugst!$R$5:$W$9,MATCH(ROUNDUP((O$1)/10,0)*10,[1]Hugst!$R$4:$W$4,0))))</f>
        <v>157.59400903765709</v>
      </c>
      <c r="P168" s="168">
        <f ca="1">IF($C168-P$1&lt;År1,0,O167*(1-VLOOKUP($A168,[1]Hugst!$R$5:$W$9,MATCH(ROUNDUP((P$1)/10,0)*10,[1]Hugst!$R$4:$W$4,0))))</f>
        <v>158.38593873131322</v>
      </c>
      <c r="Q168" s="168">
        <f ca="1">IF($C168-Q$1&lt;År1,0,P167*(1-VLOOKUP($A168,[1]Hugst!$R$5:$W$9,MATCH(ROUNDUP((Q$1)/10,0)*10,[1]Hugst!$R$4:$W$4,0))))</f>
        <v>159.18184797116919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176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149.88925849643056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149.88925849643056</v>
      </c>
      <c r="G169" s="168">
        <f ca="1">IF($C169-G$1&lt;År1,0,F168*(1-VLOOKUP($A169,[1]Hugst!$R$5:$W$9,MATCH(ROUNDUP((G$1)/10,0)*10,[1]Hugst!$R$4:$W$4,0))))</f>
        <v>150.64247085067836</v>
      </c>
      <c r="H169" s="168">
        <f ca="1">IF($C169-H$1&lt;År1,0,G168*(1-VLOOKUP($A169,[1]Hugst!$R$5:$W$9,MATCH(ROUNDUP((H$1)/10,0)*10,[1]Hugst!$R$4:$W$4,0))))</f>
        <v>151.3994681916447</v>
      </c>
      <c r="I169" s="168">
        <f ca="1">IF($C169-I$1&lt;År1,0,H168*(1-VLOOKUP($A169,[1]Hugst!$R$5:$W$9,MATCH(ROUNDUP((I$1)/10,0)*10,[1]Hugst!$R$4:$W$4,0))))</f>
        <v>152.16026953933761</v>
      </c>
      <c r="J169" s="168">
        <f ca="1">IF($C169-J$1&lt;År1,0,I168*(1-VLOOKUP($A169,[1]Hugst!$R$5:$W$9,MATCH(ROUNDUP((J$1)/10,0)*10,[1]Hugst!$R$4:$W$4,0))))</f>
        <v>152.92489400938575</v>
      </c>
      <c r="K169" s="168">
        <f ca="1">IF($C169-K$1&lt;År1,0,J168*(1-VLOOKUP($A169,[1]Hugst!$R$5:$W$9,MATCH(ROUNDUP((K$1)/10,0)*10,[1]Hugst!$R$4:$W$4,0))))</f>
        <v>153.69336081344954</v>
      </c>
      <c r="L169" s="168">
        <f ca="1">IF($C169-L$1&lt;År1,0,K168*(1-VLOOKUP($A169,[1]Hugst!$R$5:$W$9,MATCH(ROUNDUP((L$1)/10,0)*10,[1]Hugst!$R$4:$W$4,0))))</f>
        <v>154.46568925975589</v>
      </c>
      <c r="M169" s="168">
        <f ca="1">IF($C169-M$1&lt;År1,0,L168*(1-VLOOKUP($A169,[1]Hugst!$R$5:$W$9,MATCH(ROUNDUP((M$1)/10,0)*10,[1]Hugst!$R$4:$W$4,0))))</f>
        <v>155.24189875351658</v>
      </c>
      <c r="N169" s="168">
        <f ca="1">IF($C169-N$1&lt;År1,0,M168*(1-VLOOKUP($A169,[1]Hugst!$R$5:$W$9,MATCH(ROUNDUP((N$1)/10,0)*10,[1]Hugst!$R$4:$W$4,0))))</f>
        <v>156.02200879750671</v>
      </c>
      <c r="O169" s="168">
        <f ca="1">IF($C169-O$1&lt;År1,0,N168*(1-VLOOKUP($A169,[1]Hugst!$R$5:$W$9,MATCH(ROUNDUP((O$1)/10,0)*10,[1]Hugst!$R$4:$W$4,0))))</f>
        <v>156.80603899246489</v>
      </c>
      <c r="P169" s="168">
        <f ca="1">IF($C169-P$1&lt;År1,0,O168*(1-VLOOKUP($A169,[1]Hugst!$R$5:$W$9,MATCH(ROUNDUP((P$1)/10,0)*10,[1]Hugst!$R$4:$W$4,0))))</f>
        <v>157.59400903765709</v>
      </c>
      <c r="Q169" s="168">
        <f ca="1">IF($C169-Q$1&lt;År1,0,P168*(1-VLOOKUP($A169,[1]Hugst!$R$5:$W$9,MATCH(ROUNDUP((Q$1)/10,0)*10,[1]Hugst!$R$4:$W$4,0))))</f>
        <v>158.38593873131322</v>
      </c>
      <c r="R169" s="168">
        <f ca="1">IF($C169-R$1&lt;År1,0,Q168*(1-VLOOKUP($A169,[1]Hugst!$R$5:$W$9,MATCH(ROUNDUP((R$1)/10,0)*10,[1]Hugst!$R$4:$W$4,0))))</f>
        <v>159.18184797116919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176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149.13981220394635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149.13981220394635</v>
      </c>
      <c r="G170" s="168">
        <f ca="1">IF($C170-G$1&lt;År1,0,F169*(1-VLOOKUP($A170,[1]Hugst!$R$5:$W$9,MATCH(ROUNDUP((G$1)/10,0)*10,[1]Hugst!$R$4:$W$4,0))))</f>
        <v>149.88925849643056</v>
      </c>
      <c r="H170" s="168">
        <f ca="1">IF($C170-H$1&lt;År1,0,G169*(1-VLOOKUP($A170,[1]Hugst!$R$5:$W$9,MATCH(ROUNDUP((H$1)/10,0)*10,[1]Hugst!$R$4:$W$4,0))))</f>
        <v>150.64247085067836</v>
      </c>
      <c r="I170" s="168">
        <f ca="1">IF($C170-I$1&lt;År1,0,H169*(1-VLOOKUP($A170,[1]Hugst!$R$5:$W$9,MATCH(ROUNDUP((I$1)/10,0)*10,[1]Hugst!$R$4:$W$4,0))))</f>
        <v>151.3994681916447</v>
      </c>
      <c r="J170" s="168">
        <f ca="1">IF($C170-J$1&lt;År1,0,I169*(1-VLOOKUP($A170,[1]Hugst!$R$5:$W$9,MATCH(ROUNDUP((J$1)/10,0)*10,[1]Hugst!$R$4:$W$4,0))))</f>
        <v>152.16026953933761</v>
      </c>
      <c r="K170" s="168">
        <f ca="1">IF($C170-K$1&lt;År1,0,J169*(1-VLOOKUP($A170,[1]Hugst!$R$5:$W$9,MATCH(ROUNDUP((K$1)/10,0)*10,[1]Hugst!$R$4:$W$4,0))))</f>
        <v>152.92489400938575</v>
      </c>
      <c r="L170" s="168">
        <f ca="1">IF($C170-L$1&lt;År1,0,K169*(1-VLOOKUP($A170,[1]Hugst!$R$5:$W$9,MATCH(ROUNDUP((L$1)/10,0)*10,[1]Hugst!$R$4:$W$4,0))))</f>
        <v>153.69336081344954</v>
      </c>
      <c r="M170" s="168">
        <f ca="1">IF($C170-M$1&lt;År1,0,L169*(1-VLOOKUP($A170,[1]Hugst!$R$5:$W$9,MATCH(ROUNDUP((M$1)/10,0)*10,[1]Hugst!$R$4:$W$4,0))))</f>
        <v>154.46568925975589</v>
      </c>
      <c r="N170" s="168">
        <f ca="1">IF($C170-N$1&lt;År1,0,M169*(1-VLOOKUP($A170,[1]Hugst!$R$5:$W$9,MATCH(ROUNDUP((N$1)/10,0)*10,[1]Hugst!$R$4:$W$4,0))))</f>
        <v>155.24189875351658</v>
      </c>
      <c r="O170" s="168">
        <f ca="1">IF($C170-O$1&lt;År1,0,N169*(1-VLOOKUP($A170,[1]Hugst!$R$5:$W$9,MATCH(ROUNDUP((O$1)/10,0)*10,[1]Hugst!$R$4:$W$4,0))))</f>
        <v>156.02200879750671</v>
      </c>
      <c r="P170" s="168">
        <f ca="1">IF($C170-P$1&lt;År1,0,O169*(1-VLOOKUP($A170,[1]Hugst!$R$5:$W$9,MATCH(ROUNDUP((P$1)/10,0)*10,[1]Hugst!$R$4:$W$4,0))))</f>
        <v>156.80603899246489</v>
      </c>
      <c r="Q170" s="168">
        <f ca="1">IF($C170-Q$1&lt;År1,0,P169*(1-VLOOKUP($A170,[1]Hugst!$R$5:$W$9,MATCH(ROUNDUP((Q$1)/10,0)*10,[1]Hugst!$R$4:$W$4,0))))</f>
        <v>157.59400903765709</v>
      </c>
      <c r="R170" s="168">
        <f ca="1">IF($C170-R$1&lt;År1,0,Q169*(1-VLOOKUP($A170,[1]Hugst!$R$5:$W$9,MATCH(ROUNDUP((R$1)/10,0)*10,[1]Hugst!$R$4:$W$4,0))))</f>
        <v>158.38593873131322</v>
      </c>
      <c r="S170" s="168">
        <f ca="1">IF($C170-S$1&lt;År1,0,R169*(1-VLOOKUP($A170,[1]Hugst!$R$5:$W$9,MATCH(ROUNDUP((S$1)/10,0)*10,[1]Hugst!$R$4:$W$4,0))))</f>
        <v>159.18184797116919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176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148.39411314292738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148.39411314292738</v>
      </c>
      <c r="G171" s="168">
        <f ca="1">IF($C171-G$1&lt;År1,0,F170*(1-VLOOKUP($A171,[1]Hugst!$R$5:$W$9,MATCH(ROUNDUP((G$1)/10,0)*10,[1]Hugst!$R$4:$W$4,0))))</f>
        <v>149.13981220394635</v>
      </c>
      <c r="H171" s="168">
        <f ca="1">IF($C171-H$1&lt;År1,0,G170*(1-VLOOKUP($A171,[1]Hugst!$R$5:$W$9,MATCH(ROUNDUP((H$1)/10,0)*10,[1]Hugst!$R$4:$W$4,0))))</f>
        <v>149.88925849643056</v>
      </c>
      <c r="I171" s="168">
        <f ca="1">IF($C171-I$1&lt;År1,0,H170*(1-VLOOKUP($A171,[1]Hugst!$R$5:$W$9,MATCH(ROUNDUP((I$1)/10,0)*10,[1]Hugst!$R$4:$W$4,0))))</f>
        <v>150.64247085067836</v>
      </c>
      <c r="J171" s="168">
        <f ca="1">IF($C171-J$1&lt;År1,0,I170*(1-VLOOKUP($A171,[1]Hugst!$R$5:$W$9,MATCH(ROUNDUP((J$1)/10,0)*10,[1]Hugst!$R$4:$W$4,0))))</f>
        <v>151.3994681916447</v>
      </c>
      <c r="K171" s="168">
        <f ca="1">IF($C171-K$1&lt;År1,0,J170*(1-VLOOKUP($A171,[1]Hugst!$R$5:$W$9,MATCH(ROUNDUP((K$1)/10,0)*10,[1]Hugst!$R$4:$W$4,0))))</f>
        <v>152.16026953933761</v>
      </c>
      <c r="L171" s="168">
        <f ca="1">IF($C171-L$1&lt;År1,0,K170*(1-VLOOKUP($A171,[1]Hugst!$R$5:$W$9,MATCH(ROUNDUP((L$1)/10,0)*10,[1]Hugst!$R$4:$W$4,0))))</f>
        <v>152.92489400938575</v>
      </c>
      <c r="M171" s="168">
        <f ca="1">IF($C171-M$1&lt;År1,0,L170*(1-VLOOKUP($A171,[1]Hugst!$R$5:$W$9,MATCH(ROUNDUP((M$1)/10,0)*10,[1]Hugst!$R$4:$W$4,0))))</f>
        <v>153.69336081344954</v>
      </c>
      <c r="N171" s="168">
        <f ca="1">IF($C171-N$1&lt;År1,0,M170*(1-VLOOKUP($A171,[1]Hugst!$R$5:$W$9,MATCH(ROUNDUP((N$1)/10,0)*10,[1]Hugst!$R$4:$W$4,0))))</f>
        <v>154.46568925975589</v>
      </c>
      <c r="O171" s="168">
        <f ca="1">IF($C171-O$1&lt;År1,0,N170*(1-VLOOKUP($A171,[1]Hugst!$R$5:$W$9,MATCH(ROUNDUP((O$1)/10,0)*10,[1]Hugst!$R$4:$W$4,0))))</f>
        <v>155.24189875351658</v>
      </c>
      <c r="P171" s="168">
        <f ca="1">IF($C171-P$1&lt;År1,0,O170*(1-VLOOKUP($A171,[1]Hugst!$R$5:$W$9,MATCH(ROUNDUP((P$1)/10,0)*10,[1]Hugst!$R$4:$W$4,0))))</f>
        <v>156.02200879750671</v>
      </c>
      <c r="Q171" s="168">
        <f ca="1">IF($C171-Q$1&lt;År1,0,P170*(1-VLOOKUP($A171,[1]Hugst!$R$5:$W$9,MATCH(ROUNDUP((Q$1)/10,0)*10,[1]Hugst!$R$4:$W$4,0))))</f>
        <v>156.80603899246489</v>
      </c>
      <c r="R171" s="168">
        <f ca="1">IF($C171-R$1&lt;År1,0,Q170*(1-VLOOKUP($A171,[1]Hugst!$R$5:$W$9,MATCH(ROUNDUP((R$1)/10,0)*10,[1]Hugst!$R$4:$W$4,0))))</f>
        <v>157.59400903765709</v>
      </c>
      <c r="S171" s="168">
        <f ca="1">IF($C171-S$1&lt;År1,0,R170*(1-VLOOKUP($A171,[1]Hugst!$R$5:$W$9,MATCH(ROUNDUP((S$1)/10,0)*10,[1]Hugst!$R$4:$W$4,0))))</f>
        <v>158.38593873131322</v>
      </c>
      <c r="T171" s="168">
        <f ca="1">IF($C171-T$1&lt;År1,0,S170*(1-VLOOKUP($A171,[1]Hugst!$R$5:$W$9,MATCH(ROUNDUP((T$1)/10,0)*10,[1]Hugst!$R$4:$W$4,0))))</f>
        <v>159.18184797116919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176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147.65214257721527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147.65214257721527</v>
      </c>
      <c r="G172" s="168">
        <f ca="1">IF($C172-G$1&lt;År1,0,F171*(1-VLOOKUP($A172,[1]Hugst!$R$5:$W$9,MATCH(ROUNDUP((G$1)/10,0)*10,[1]Hugst!$R$4:$W$4,0))))</f>
        <v>148.39411314292738</v>
      </c>
      <c r="H172" s="168">
        <f ca="1">IF($C172-H$1&lt;År1,0,G171*(1-VLOOKUP($A172,[1]Hugst!$R$5:$W$9,MATCH(ROUNDUP((H$1)/10,0)*10,[1]Hugst!$R$4:$W$4,0))))</f>
        <v>149.13981220394635</v>
      </c>
      <c r="I172" s="168">
        <f ca="1">IF($C172-I$1&lt;År1,0,H171*(1-VLOOKUP($A172,[1]Hugst!$R$5:$W$9,MATCH(ROUNDUP((I$1)/10,0)*10,[1]Hugst!$R$4:$W$4,0))))</f>
        <v>149.88925849643056</v>
      </c>
      <c r="J172" s="168">
        <f ca="1">IF($C172-J$1&lt;År1,0,I171*(1-VLOOKUP($A172,[1]Hugst!$R$5:$W$9,MATCH(ROUNDUP((J$1)/10,0)*10,[1]Hugst!$R$4:$W$4,0))))</f>
        <v>150.64247085067836</v>
      </c>
      <c r="K172" s="168">
        <f ca="1">IF($C172-K$1&lt;År1,0,J171*(1-VLOOKUP($A172,[1]Hugst!$R$5:$W$9,MATCH(ROUNDUP((K$1)/10,0)*10,[1]Hugst!$R$4:$W$4,0))))</f>
        <v>151.3994681916447</v>
      </c>
      <c r="L172" s="168">
        <f ca="1">IF($C172-L$1&lt;År1,0,K171*(1-VLOOKUP($A172,[1]Hugst!$R$5:$W$9,MATCH(ROUNDUP((L$1)/10,0)*10,[1]Hugst!$R$4:$W$4,0))))</f>
        <v>152.16026953933761</v>
      </c>
      <c r="M172" s="168">
        <f ca="1">IF($C172-M$1&lt;År1,0,L171*(1-VLOOKUP($A172,[1]Hugst!$R$5:$W$9,MATCH(ROUNDUP((M$1)/10,0)*10,[1]Hugst!$R$4:$W$4,0))))</f>
        <v>152.92489400938575</v>
      </c>
      <c r="N172" s="168">
        <f ca="1">IF($C172-N$1&lt;År1,0,M171*(1-VLOOKUP($A172,[1]Hugst!$R$5:$W$9,MATCH(ROUNDUP((N$1)/10,0)*10,[1]Hugst!$R$4:$W$4,0))))</f>
        <v>153.69336081344954</v>
      </c>
      <c r="O172" s="168">
        <f ca="1">IF($C172-O$1&lt;År1,0,N171*(1-VLOOKUP($A172,[1]Hugst!$R$5:$W$9,MATCH(ROUNDUP((O$1)/10,0)*10,[1]Hugst!$R$4:$W$4,0))))</f>
        <v>154.46568925975589</v>
      </c>
      <c r="P172" s="168">
        <f ca="1">IF($C172-P$1&lt;År1,0,O171*(1-VLOOKUP($A172,[1]Hugst!$R$5:$W$9,MATCH(ROUNDUP((P$1)/10,0)*10,[1]Hugst!$R$4:$W$4,0))))</f>
        <v>155.24189875351658</v>
      </c>
      <c r="Q172" s="168">
        <f ca="1">IF($C172-Q$1&lt;År1,0,P171*(1-VLOOKUP($A172,[1]Hugst!$R$5:$W$9,MATCH(ROUNDUP((Q$1)/10,0)*10,[1]Hugst!$R$4:$W$4,0))))</f>
        <v>156.02200879750671</v>
      </c>
      <c r="R172" s="168">
        <f ca="1">IF($C172-R$1&lt;År1,0,Q171*(1-VLOOKUP($A172,[1]Hugst!$R$5:$W$9,MATCH(ROUNDUP((R$1)/10,0)*10,[1]Hugst!$R$4:$W$4,0))))</f>
        <v>156.80603899246489</v>
      </c>
      <c r="S172" s="168">
        <f ca="1">IF($C172-S$1&lt;År1,0,R171*(1-VLOOKUP($A172,[1]Hugst!$R$5:$W$9,MATCH(ROUNDUP((S$1)/10,0)*10,[1]Hugst!$R$4:$W$4,0))))</f>
        <v>157.59400903765709</v>
      </c>
      <c r="T172" s="168">
        <f ca="1">IF($C172-T$1&lt;År1,0,S171*(1-VLOOKUP($A172,[1]Hugst!$R$5:$W$9,MATCH(ROUNDUP((T$1)/10,0)*10,[1]Hugst!$R$4:$W$4,0))))</f>
        <v>158.38593873131322</v>
      </c>
      <c r="U172" s="168">
        <f ca="1">IF($C172-U$1&lt;År1,0,T171*(1-VLOOKUP($A172,[1]Hugst!$R$5:$W$9,MATCH(ROUNDUP((U$1)/10,0)*10,[1]Hugst!$R$4:$W$4,0))))</f>
        <v>159.18184797116919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176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146.91388186432596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146.91388186432596</v>
      </c>
      <c r="G173" s="168">
        <f ca="1">IF($C173-G$1&lt;År1,0,F172*(1-VLOOKUP($A173,[1]Hugst!$R$5:$W$9,MATCH(ROUNDUP((G$1)/10,0)*10,[1]Hugst!$R$4:$W$4,0))))</f>
        <v>147.65214257721527</v>
      </c>
      <c r="H173" s="168">
        <f ca="1">IF($C173-H$1&lt;År1,0,G172*(1-VLOOKUP($A173,[1]Hugst!$R$5:$W$9,MATCH(ROUNDUP((H$1)/10,0)*10,[1]Hugst!$R$4:$W$4,0))))</f>
        <v>148.39411314292738</v>
      </c>
      <c r="I173" s="168">
        <f ca="1">IF($C173-I$1&lt;År1,0,H172*(1-VLOOKUP($A173,[1]Hugst!$R$5:$W$9,MATCH(ROUNDUP((I$1)/10,0)*10,[1]Hugst!$R$4:$W$4,0))))</f>
        <v>149.13981220394635</v>
      </c>
      <c r="J173" s="168">
        <f ca="1">IF($C173-J$1&lt;År1,0,I172*(1-VLOOKUP($A173,[1]Hugst!$R$5:$W$9,MATCH(ROUNDUP((J$1)/10,0)*10,[1]Hugst!$R$4:$W$4,0))))</f>
        <v>149.88925849643056</v>
      </c>
      <c r="K173" s="168">
        <f ca="1">IF($C173-K$1&lt;År1,0,J172*(1-VLOOKUP($A173,[1]Hugst!$R$5:$W$9,MATCH(ROUNDUP((K$1)/10,0)*10,[1]Hugst!$R$4:$W$4,0))))</f>
        <v>150.64247085067836</v>
      </c>
      <c r="L173" s="168">
        <f ca="1">IF($C173-L$1&lt;År1,0,K172*(1-VLOOKUP($A173,[1]Hugst!$R$5:$W$9,MATCH(ROUNDUP((L$1)/10,0)*10,[1]Hugst!$R$4:$W$4,0))))</f>
        <v>151.3994681916447</v>
      </c>
      <c r="M173" s="168">
        <f ca="1">IF($C173-M$1&lt;År1,0,L172*(1-VLOOKUP($A173,[1]Hugst!$R$5:$W$9,MATCH(ROUNDUP((M$1)/10,0)*10,[1]Hugst!$R$4:$W$4,0))))</f>
        <v>152.16026953933761</v>
      </c>
      <c r="N173" s="168">
        <f ca="1">IF($C173-N$1&lt;År1,0,M172*(1-VLOOKUP($A173,[1]Hugst!$R$5:$W$9,MATCH(ROUNDUP((N$1)/10,0)*10,[1]Hugst!$R$4:$W$4,0))))</f>
        <v>152.92489400938575</v>
      </c>
      <c r="O173" s="168">
        <f ca="1">IF($C173-O$1&lt;År1,0,N172*(1-VLOOKUP($A173,[1]Hugst!$R$5:$W$9,MATCH(ROUNDUP((O$1)/10,0)*10,[1]Hugst!$R$4:$W$4,0))))</f>
        <v>153.69336081344954</v>
      </c>
      <c r="P173" s="168">
        <f ca="1">IF($C173-P$1&lt;År1,0,O172*(1-VLOOKUP($A173,[1]Hugst!$R$5:$W$9,MATCH(ROUNDUP((P$1)/10,0)*10,[1]Hugst!$R$4:$W$4,0))))</f>
        <v>154.46568925975589</v>
      </c>
      <c r="Q173" s="168">
        <f ca="1">IF($C173-Q$1&lt;År1,0,P172*(1-VLOOKUP($A173,[1]Hugst!$R$5:$W$9,MATCH(ROUNDUP((Q$1)/10,0)*10,[1]Hugst!$R$4:$W$4,0))))</f>
        <v>155.24189875351658</v>
      </c>
      <c r="R173" s="168">
        <f ca="1">IF($C173-R$1&lt;År1,0,Q172*(1-VLOOKUP($A173,[1]Hugst!$R$5:$W$9,MATCH(ROUNDUP((R$1)/10,0)*10,[1]Hugst!$R$4:$W$4,0))))</f>
        <v>156.02200879750671</v>
      </c>
      <c r="S173" s="168">
        <f ca="1">IF($C173-S$1&lt;År1,0,R172*(1-VLOOKUP($A173,[1]Hugst!$R$5:$W$9,MATCH(ROUNDUP((S$1)/10,0)*10,[1]Hugst!$R$4:$W$4,0))))</f>
        <v>156.80603899246489</v>
      </c>
      <c r="T173" s="168">
        <f ca="1">IF($C173-T$1&lt;År1,0,S172*(1-VLOOKUP($A173,[1]Hugst!$R$5:$W$9,MATCH(ROUNDUP((T$1)/10,0)*10,[1]Hugst!$R$4:$W$4,0))))</f>
        <v>157.59400903765709</v>
      </c>
      <c r="U173" s="168">
        <f ca="1">IF($C173-U$1&lt;År1,0,T172*(1-VLOOKUP($A173,[1]Hugst!$R$5:$W$9,MATCH(ROUNDUP((U$1)/10,0)*10,[1]Hugst!$R$4:$W$4,0))))</f>
        <v>158.38593873131322</v>
      </c>
      <c r="V173" s="168">
        <f ca="1">IF($C173-V$1&lt;År1,0,U172*(1-VLOOKUP($A173,[1]Hugst!$R$5:$W$9,MATCH(ROUNDUP((V$1)/10,0)*10,[1]Hugst!$R$4:$W$4,0))))</f>
        <v>159.18184797116919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176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146.17931245500586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146.17931245500586</v>
      </c>
      <c r="G174" s="168">
        <f ca="1">IF($C174-G$1&lt;År1,0,F173*(1-VLOOKUP($A174,[1]Hugst!$R$5:$W$9,MATCH(ROUNDUP((G$1)/10,0)*10,[1]Hugst!$R$4:$W$4,0))))</f>
        <v>146.91388186432596</v>
      </c>
      <c r="H174" s="168">
        <f ca="1">IF($C174-H$1&lt;År1,0,G173*(1-VLOOKUP($A174,[1]Hugst!$R$5:$W$9,MATCH(ROUNDUP((H$1)/10,0)*10,[1]Hugst!$R$4:$W$4,0))))</f>
        <v>147.65214257721527</v>
      </c>
      <c r="I174" s="168">
        <f ca="1">IF($C174-I$1&lt;År1,0,H173*(1-VLOOKUP($A174,[1]Hugst!$R$5:$W$9,MATCH(ROUNDUP((I$1)/10,0)*10,[1]Hugst!$R$4:$W$4,0))))</f>
        <v>148.39411314292738</v>
      </c>
      <c r="J174" s="168">
        <f ca="1">IF($C174-J$1&lt;År1,0,I173*(1-VLOOKUP($A174,[1]Hugst!$R$5:$W$9,MATCH(ROUNDUP((J$1)/10,0)*10,[1]Hugst!$R$4:$W$4,0))))</f>
        <v>149.13981220394635</v>
      </c>
      <c r="K174" s="168">
        <f ca="1">IF($C174-K$1&lt;År1,0,J173*(1-VLOOKUP($A174,[1]Hugst!$R$5:$W$9,MATCH(ROUNDUP((K$1)/10,0)*10,[1]Hugst!$R$4:$W$4,0))))</f>
        <v>149.88925849643056</v>
      </c>
      <c r="L174" s="168">
        <f ca="1">IF($C174-L$1&lt;År1,0,K173*(1-VLOOKUP($A174,[1]Hugst!$R$5:$W$9,MATCH(ROUNDUP((L$1)/10,0)*10,[1]Hugst!$R$4:$W$4,0))))</f>
        <v>150.64247085067836</v>
      </c>
      <c r="M174" s="168">
        <f ca="1">IF($C174-M$1&lt;År1,0,L173*(1-VLOOKUP($A174,[1]Hugst!$R$5:$W$9,MATCH(ROUNDUP((M$1)/10,0)*10,[1]Hugst!$R$4:$W$4,0))))</f>
        <v>151.3994681916447</v>
      </c>
      <c r="N174" s="168">
        <f ca="1">IF($C174-N$1&lt;År1,0,M173*(1-VLOOKUP($A174,[1]Hugst!$R$5:$W$9,MATCH(ROUNDUP((N$1)/10,0)*10,[1]Hugst!$R$4:$W$4,0))))</f>
        <v>152.16026953933761</v>
      </c>
      <c r="O174" s="168">
        <f ca="1">IF($C174-O$1&lt;År1,0,N173*(1-VLOOKUP($A174,[1]Hugst!$R$5:$W$9,MATCH(ROUNDUP((O$1)/10,0)*10,[1]Hugst!$R$4:$W$4,0))))</f>
        <v>152.92489400938575</v>
      </c>
      <c r="P174" s="168">
        <f ca="1">IF($C174-P$1&lt;År1,0,O173*(1-VLOOKUP($A174,[1]Hugst!$R$5:$W$9,MATCH(ROUNDUP((P$1)/10,0)*10,[1]Hugst!$R$4:$W$4,0))))</f>
        <v>153.69336081344954</v>
      </c>
      <c r="Q174" s="168">
        <f ca="1">IF($C174-Q$1&lt;År1,0,P173*(1-VLOOKUP($A174,[1]Hugst!$R$5:$W$9,MATCH(ROUNDUP((Q$1)/10,0)*10,[1]Hugst!$R$4:$W$4,0))))</f>
        <v>154.46568925975589</v>
      </c>
      <c r="R174" s="168">
        <f ca="1">IF($C174-R$1&lt;År1,0,Q173*(1-VLOOKUP($A174,[1]Hugst!$R$5:$W$9,MATCH(ROUNDUP((R$1)/10,0)*10,[1]Hugst!$R$4:$W$4,0))))</f>
        <v>155.24189875351658</v>
      </c>
      <c r="S174" s="168">
        <f ca="1">IF($C174-S$1&lt;År1,0,R173*(1-VLOOKUP($A174,[1]Hugst!$R$5:$W$9,MATCH(ROUNDUP((S$1)/10,0)*10,[1]Hugst!$R$4:$W$4,0))))</f>
        <v>156.02200879750671</v>
      </c>
      <c r="T174" s="168">
        <f ca="1">IF($C174-T$1&lt;År1,0,S173*(1-VLOOKUP($A174,[1]Hugst!$R$5:$W$9,MATCH(ROUNDUP((T$1)/10,0)*10,[1]Hugst!$R$4:$W$4,0))))</f>
        <v>156.80603899246489</v>
      </c>
      <c r="U174" s="168">
        <f ca="1">IF($C174-U$1&lt;År1,0,T173*(1-VLOOKUP($A174,[1]Hugst!$R$5:$W$9,MATCH(ROUNDUP((U$1)/10,0)*10,[1]Hugst!$R$4:$W$4,0))))</f>
        <v>157.59400903765709</v>
      </c>
      <c r="V174" s="168">
        <f ca="1">IF($C174-V$1&lt;År1,0,U173*(1-VLOOKUP($A174,[1]Hugst!$R$5:$W$9,MATCH(ROUNDUP((V$1)/10,0)*10,[1]Hugst!$R$4:$W$4,0))))</f>
        <v>158.38593873131322</v>
      </c>
      <c r="W174" s="168">
        <f ca="1">IF($C174-W$1&lt;År1,0,V173*(1-VLOOKUP($A174,[1]Hugst!$R$5:$W$9,MATCH(ROUNDUP((W$1)/10,0)*10,[1]Hugst!$R$4:$W$4,0))))</f>
        <v>159.18184797116919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176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145.44841589273346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145.44841589273346</v>
      </c>
      <c r="G175" s="168">
        <f ca="1">IF($C175-G$1&lt;År1,0,F174*(1-VLOOKUP($A175,[1]Hugst!$R$5:$W$9,MATCH(ROUNDUP((G$1)/10,0)*10,[1]Hugst!$R$4:$W$4,0))))</f>
        <v>146.17931245500586</v>
      </c>
      <c r="H175" s="168">
        <f ca="1">IF($C175-H$1&lt;År1,0,G174*(1-VLOOKUP($A175,[1]Hugst!$R$5:$W$9,MATCH(ROUNDUP((H$1)/10,0)*10,[1]Hugst!$R$4:$W$4,0))))</f>
        <v>146.91388186432596</v>
      </c>
      <c r="I175" s="168">
        <f ca="1">IF($C175-I$1&lt;År1,0,H174*(1-VLOOKUP($A175,[1]Hugst!$R$5:$W$9,MATCH(ROUNDUP((I$1)/10,0)*10,[1]Hugst!$R$4:$W$4,0))))</f>
        <v>147.65214257721527</v>
      </c>
      <c r="J175" s="168">
        <f ca="1">IF($C175-J$1&lt;År1,0,I174*(1-VLOOKUP($A175,[1]Hugst!$R$5:$W$9,MATCH(ROUNDUP((J$1)/10,0)*10,[1]Hugst!$R$4:$W$4,0))))</f>
        <v>148.39411314292738</v>
      </c>
      <c r="K175" s="168">
        <f ca="1">IF($C175-K$1&lt;År1,0,J174*(1-VLOOKUP($A175,[1]Hugst!$R$5:$W$9,MATCH(ROUNDUP((K$1)/10,0)*10,[1]Hugst!$R$4:$W$4,0))))</f>
        <v>149.13981220394635</v>
      </c>
      <c r="L175" s="168">
        <f ca="1">IF($C175-L$1&lt;År1,0,K174*(1-VLOOKUP($A175,[1]Hugst!$R$5:$W$9,MATCH(ROUNDUP((L$1)/10,0)*10,[1]Hugst!$R$4:$W$4,0))))</f>
        <v>149.88925849643056</v>
      </c>
      <c r="M175" s="168">
        <f ca="1">IF($C175-M$1&lt;År1,0,L174*(1-VLOOKUP($A175,[1]Hugst!$R$5:$W$9,MATCH(ROUNDUP((M$1)/10,0)*10,[1]Hugst!$R$4:$W$4,0))))</f>
        <v>150.64247085067836</v>
      </c>
      <c r="N175" s="168">
        <f ca="1">IF($C175-N$1&lt;År1,0,M174*(1-VLOOKUP($A175,[1]Hugst!$R$5:$W$9,MATCH(ROUNDUP((N$1)/10,0)*10,[1]Hugst!$R$4:$W$4,0))))</f>
        <v>151.3994681916447</v>
      </c>
      <c r="O175" s="168">
        <f ca="1">IF($C175-O$1&lt;År1,0,N174*(1-VLOOKUP($A175,[1]Hugst!$R$5:$W$9,MATCH(ROUNDUP((O$1)/10,0)*10,[1]Hugst!$R$4:$W$4,0))))</f>
        <v>152.16026953933761</v>
      </c>
      <c r="P175" s="168">
        <f ca="1">IF($C175-P$1&lt;År1,0,O174*(1-VLOOKUP($A175,[1]Hugst!$R$5:$W$9,MATCH(ROUNDUP((P$1)/10,0)*10,[1]Hugst!$R$4:$W$4,0))))</f>
        <v>152.92489400938575</v>
      </c>
      <c r="Q175" s="168">
        <f ca="1">IF($C175-Q$1&lt;År1,0,P174*(1-VLOOKUP($A175,[1]Hugst!$R$5:$W$9,MATCH(ROUNDUP((Q$1)/10,0)*10,[1]Hugst!$R$4:$W$4,0))))</f>
        <v>153.69336081344954</v>
      </c>
      <c r="R175" s="168">
        <f ca="1">IF($C175-R$1&lt;År1,0,Q174*(1-VLOOKUP($A175,[1]Hugst!$R$5:$W$9,MATCH(ROUNDUP((R$1)/10,0)*10,[1]Hugst!$R$4:$W$4,0))))</f>
        <v>154.46568925975589</v>
      </c>
      <c r="S175" s="168">
        <f ca="1">IF($C175-S$1&lt;År1,0,R174*(1-VLOOKUP($A175,[1]Hugst!$R$5:$W$9,MATCH(ROUNDUP((S$1)/10,0)*10,[1]Hugst!$R$4:$W$4,0))))</f>
        <v>155.24189875351658</v>
      </c>
      <c r="T175" s="168">
        <f ca="1">IF($C175-T$1&lt;År1,0,S174*(1-VLOOKUP($A175,[1]Hugst!$R$5:$W$9,MATCH(ROUNDUP((T$1)/10,0)*10,[1]Hugst!$R$4:$W$4,0))))</f>
        <v>156.02200879750671</v>
      </c>
      <c r="U175" s="168">
        <f ca="1">IF($C175-U$1&lt;År1,0,T174*(1-VLOOKUP($A175,[1]Hugst!$R$5:$W$9,MATCH(ROUNDUP((U$1)/10,0)*10,[1]Hugst!$R$4:$W$4,0))))</f>
        <v>156.80603899246489</v>
      </c>
      <c r="V175" s="168">
        <f ca="1">IF($C175-V$1&lt;År1,0,U174*(1-VLOOKUP($A175,[1]Hugst!$R$5:$W$9,MATCH(ROUNDUP((V$1)/10,0)*10,[1]Hugst!$R$4:$W$4,0))))</f>
        <v>157.59400903765709</v>
      </c>
      <c r="W175" s="168">
        <f ca="1">IF($C175-W$1&lt;År1,0,V174*(1-VLOOKUP($A175,[1]Hugst!$R$5:$W$9,MATCH(ROUNDUP((W$1)/10,0)*10,[1]Hugst!$R$4:$W$4,0))))</f>
        <v>158.38593873131322</v>
      </c>
      <c r="X175" s="168">
        <f ca="1">IF($C175-X$1&lt;År1,0,W174*(1-VLOOKUP($A175,[1]Hugst!$R$5:$W$9,MATCH(ROUNDUP((X$1)/10,0)*10,[1]Hugst!$R$4:$W$4,0))))</f>
        <v>159.18184797116919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176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144.72117381326461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144.72117381326461</v>
      </c>
      <c r="G176" s="168">
        <f ca="1">IF($C176-G$1&lt;År1,0,F175*(1-VLOOKUP($A176,[1]Hugst!$R$5:$W$9,MATCH(ROUNDUP((G$1)/10,0)*10,[1]Hugst!$R$4:$W$4,0))))</f>
        <v>145.44841589273346</v>
      </c>
      <c r="H176" s="168">
        <f ca="1">IF($C176-H$1&lt;År1,0,G175*(1-VLOOKUP($A176,[1]Hugst!$R$5:$W$9,MATCH(ROUNDUP((H$1)/10,0)*10,[1]Hugst!$R$4:$W$4,0))))</f>
        <v>146.17931245500586</v>
      </c>
      <c r="I176" s="168">
        <f ca="1">IF($C176-I$1&lt;År1,0,H175*(1-VLOOKUP($A176,[1]Hugst!$R$5:$W$9,MATCH(ROUNDUP((I$1)/10,0)*10,[1]Hugst!$R$4:$W$4,0))))</f>
        <v>146.91388186432596</v>
      </c>
      <c r="J176" s="168">
        <f ca="1">IF($C176-J$1&lt;År1,0,I175*(1-VLOOKUP($A176,[1]Hugst!$R$5:$W$9,MATCH(ROUNDUP((J$1)/10,0)*10,[1]Hugst!$R$4:$W$4,0))))</f>
        <v>147.65214257721527</v>
      </c>
      <c r="K176" s="168">
        <f ca="1">IF($C176-K$1&lt;År1,0,J175*(1-VLOOKUP($A176,[1]Hugst!$R$5:$W$9,MATCH(ROUNDUP((K$1)/10,0)*10,[1]Hugst!$R$4:$W$4,0))))</f>
        <v>148.39411314292738</v>
      </c>
      <c r="L176" s="168">
        <f ca="1">IF($C176-L$1&lt;År1,0,K175*(1-VLOOKUP($A176,[1]Hugst!$R$5:$W$9,MATCH(ROUNDUP((L$1)/10,0)*10,[1]Hugst!$R$4:$W$4,0))))</f>
        <v>149.13981220394635</v>
      </c>
      <c r="M176" s="168">
        <f ca="1">IF($C176-M$1&lt;År1,0,L175*(1-VLOOKUP($A176,[1]Hugst!$R$5:$W$9,MATCH(ROUNDUP((M$1)/10,0)*10,[1]Hugst!$R$4:$W$4,0))))</f>
        <v>149.88925849643056</v>
      </c>
      <c r="N176" s="168">
        <f ca="1">IF($C176-N$1&lt;År1,0,M175*(1-VLOOKUP($A176,[1]Hugst!$R$5:$W$9,MATCH(ROUNDUP((N$1)/10,0)*10,[1]Hugst!$R$4:$W$4,0))))</f>
        <v>150.64247085067836</v>
      </c>
      <c r="O176" s="168">
        <f ca="1">IF($C176-O$1&lt;År1,0,N175*(1-VLOOKUP($A176,[1]Hugst!$R$5:$W$9,MATCH(ROUNDUP((O$1)/10,0)*10,[1]Hugst!$R$4:$W$4,0))))</f>
        <v>151.3994681916447</v>
      </c>
      <c r="P176" s="168">
        <f ca="1">IF($C176-P$1&lt;År1,0,O175*(1-VLOOKUP($A176,[1]Hugst!$R$5:$W$9,MATCH(ROUNDUP((P$1)/10,0)*10,[1]Hugst!$R$4:$W$4,0))))</f>
        <v>152.16026953933761</v>
      </c>
      <c r="Q176" s="168">
        <f ca="1">IF($C176-Q$1&lt;År1,0,P175*(1-VLOOKUP($A176,[1]Hugst!$R$5:$W$9,MATCH(ROUNDUP((Q$1)/10,0)*10,[1]Hugst!$R$4:$W$4,0))))</f>
        <v>152.92489400938575</v>
      </c>
      <c r="R176" s="168">
        <f ca="1">IF($C176-R$1&lt;År1,0,Q175*(1-VLOOKUP($A176,[1]Hugst!$R$5:$W$9,MATCH(ROUNDUP((R$1)/10,0)*10,[1]Hugst!$R$4:$W$4,0))))</f>
        <v>153.69336081344954</v>
      </c>
      <c r="S176" s="168">
        <f ca="1">IF($C176-S$1&lt;År1,0,R175*(1-VLOOKUP($A176,[1]Hugst!$R$5:$W$9,MATCH(ROUNDUP((S$1)/10,0)*10,[1]Hugst!$R$4:$W$4,0))))</f>
        <v>154.46568925975589</v>
      </c>
      <c r="T176" s="168">
        <f ca="1">IF($C176-T$1&lt;År1,0,S175*(1-VLOOKUP($A176,[1]Hugst!$R$5:$W$9,MATCH(ROUNDUP((T$1)/10,0)*10,[1]Hugst!$R$4:$W$4,0))))</f>
        <v>155.24189875351658</v>
      </c>
      <c r="U176" s="168">
        <f ca="1">IF($C176-U$1&lt;År1,0,T175*(1-VLOOKUP($A176,[1]Hugst!$R$5:$W$9,MATCH(ROUNDUP((U$1)/10,0)*10,[1]Hugst!$R$4:$W$4,0))))</f>
        <v>156.02200879750671</v>
      </c>
      <c r="V176" s="168">
        <f ca="1">IF($C176-V$1&lt;År1,0,U175*(1-VLOOKUP($A176,[1]Hugst!$R$5:$W$9,MATCH(ROUNDUP((V$1)/10,0)*10,[1]Hugst!$R$4:$W$4,0))))</f>
        <v>156.80603899246489</v>
      </c>
      <c r="W176" s="168">
        <f ca="1">IF($C176-W$1&lt;År1,0,V175*(1-VLOOKUP($A176,[1]Hugst!$R$5:$W$9,MATCH(ROUNDUP((W$1)/10,0)*10,[1]Hugst!$R$4:$W$4,0))))</f>
        <v>157.59400903765709</v>
      </c>
      <c r="X176" s="168">
        <f ca="1">IF($C176-X$1&lt;År1,0,W175*(1-VLOOKUP($A176,[1]Hugst!$R$5:$W$9,MATCH(ROUNDUP((X$1)/10,0)*10,[1]Hugst!$R$4:$W$4,0))))</f>
        <v>158.38593873131322</v>
      </c>
      <c r="Y176" s="168">
        <f ca="1">IF($C176-Y$1&lt;År1,0,X175*(1-VLOOKUP($A176,[1]Hugst!$R$5:$W$9,MATCH(ROUNDUP((Y$1)/10,0)*10,[1]Hugst!$R$4:$W$4,0))))</f>
        <v>159.18184797116919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176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143.99756794419955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143.99756794419955</v>
      </c>
      <c r="G177" s="168">
        <f ca="1">IF($C177-G$1&lt;År1,0,F176*(1-VLOOKUP($A177,[1]Hugst!$R$5:$W$9,MATCH(ROUNDUP((G$1)/10,0)*10,[1]Hugst!$R$4:$W$4,0))))</f>
        <v>144.72117381326461</v>
      </c>
      <c r="H177" s="168">
        <f ca="1">IF($C177-H$1&lt;År1,0,G176*(1-VLOOKUP($A177,[1]Hugst!$R$5:$W$9,MATCH(ROUNDUP((H$1)/10,0)*10,[1]Hugst!$R$4:$W$4,0))))</f>
        <v>145.44841589273346</v>
      </c>
      <c r="I177" s="168">
        <f ca="1">IF($C177-I$1&lt;År1,0,H176*(1-VLOOKUP($A177,[1]Hugst!$R$5:$W$9,MATCH(ROUNDUP((I$1)/10,0)*10,[1]Hugst!$R$4:$W$4,0))))</f>
        <v>146.17931245500586</v>
      </c>
      <c r="J177" s="168">
        <f ca="1">IF($C177-J$1&lt;År1,0,I176*(1-VLOOKUP($A177,[1]Hugst!$R$5:$W$9,MATCH(ROUNDUP((J$1)/10,0)*10,[1]Hugst!$R$4:$W$4,0))))</f>
        <v>146.91388186432596</v>
      </c>
      <c r="K177" s="168">
        <f ca="1">IF($C177-K$1&lt;År1,0,J176*(1-VLOOKUP($A177,[1]Hugst!$R$5:$W$9,MATCH(ROUNDUP((K$1)/10,0)*10,[1]Hugst!$R$4:$W$4,0))))</f>
        <v>147.65214257721527</v>
      </c>
      <c r="L177" s="168">
        <f ca="1">IF($C177-L$1&lt;År1,0,K176*(1-VLOOKUP($A177,[1]Hugst!$R$5:$W$9,MATCH(ROUNDUP((L$1)/10,0)*10,[1]Hugst!$R$4:$W$4,0))))</f>
        <v>148.39411314292738</v>
      </c>
      <c r="M177" s="168">
        <f ca="1">IF($C177-M$1&lt;År1,0,L176*(1-VLOOKUP($A177,[1]Hugst!$R$5:$W$9,MATCH(ROUNDUP((M$1)/10,0)*10,[1]Hugst!$R$4:$W$4,0))))</f>
        <v>149.13981220394635</v>
      </c>
      <c r="N177" s="168">
        <f ca="1">IF($C177-N$1&lt;År1,0,M176*(1-VLOOKUP($A177,[1]Hugst!$R$5:$W$9,MATCH(ROUNDUP((N$1)/10,0)*10,[1]Hugst!$R$4:$W$4,0))))</f>
        <v>149.88925849643056</v>
      </c>
      <c r="O177" s="168">
        <f ca="1">IF($C177-O$1&lt;År1,0,N176*(1-VLOOKUP($A177,[1]Hugst!$R$5:$W$9,MATCH(ROUNDUP((O$1)/10,0)*10,[1]Hugst!$R$4:$W$4,0))))</f>
        <v>150.64247085067836</v>
      </c>
      <c r="P177" s="168">
        <f ca="1">IF($C177-P$1&lt;År1,0,O176*(1-VLOOKUP($A177,[1]Hugst!$R$5:$W$9,MATCH(ROUNDUP((P$1)/10,0)*10,[1]Hugst!$R$4:$W$4,0))))</f>
        <v>151.3994681916447</v>
      </c>
      <c r="Q177" s="168">
        <f ca="1">IF($C177-Q$1&lt;År1,0,P176*(1-VLOOKUP($A177,[1]Hugst!$R$5:$W$9,MATCH(ROUNDUP((Q$1)/10,0)*10,[1]Hugst!$R$4:$W$4,0))))</f>
        <v>152.16026953933761</v>
      </c>
      <c r="R177" s="168">
        <f ca="1">IF($C177-R$1&lt;År1,0,Q176*(1-VLOOKUP($A177,[1]Hugst!$R$5:$W$9,MATCH(ROUNDUP((R$1)/10,0)*10,[1]Hugst!$R$4:$W$4,0))))</f>
        <v>152.92489400938575</v>
      </c>
      <c r="S177" s="168">
        <f ca="1">IF($C177-S$1&lt;År1,0,R176*(1-VLOOKUP($A177,[1]Hugst!$R$5:$W$9,MATCH(ROUNDUP((S$1)/10,0)*10,[1]Hugst!$R$4:$W$4,0))))</f>
        <v>153.69336081344954</v>
      </c>
      <c r="T177" s="168">
        <f ca="1">IF($C177-T$1&lt;År1,0,S176*(1-VLOOKUP($A177,[1]Hugst!$R$5:$W$9,MATCH(ROUNDUP((T$1)/10,0)*10,[1]Hugst!$R$4:$W$4,0))))</f>
        <v>154.46568925975589</v>
      </c>
      <c r="U177" s="168">
        <f ca="1">IF($C177-U$1&lt;År1,0,T176*(1-VLOOKUP($A177,[1]Hugst!$R$5:$W$9,MATCH(ROUNDUP((U$1)/10,0)*10,[1]Hugst!$R$4:$W$4,0))))</f>
        <v>155.24189875351658</v>
      </c>
      <c r="V177" s="168">
        <f ca="1">IF($C177-V$1&lt;År1,0,U176*(1-VLOOKUP($A177,[1]Hugst!$R$5:$W$9,MATCH(ROUNDUP((V$1)/10,0)*10,[1]Hugst!$R$4:$W$4,0))))</f>
        <v>156.02200879750671</v>
      </c>
      <c r="W177" s="168">
        <f ca="1">IF($C177-W$1&lt;År1,0,V176*(1-VLOOKUP($A177,[1]Hugst!$R$5:$W$9,MATCH(ROUNDUP((W$1)/10,0)*10,[1]Hugst!$R$4:$W$4,0))))</f>
        <v>156.80603899246489</v>
      </c>
      <c r="X177" s="168">
        <f ca="1">IF($C177-X$1&lt;År1,0,W176*(1-VLOOKUP($A177,[1]Hugst!$R$5:$W$9,MATCH(ROUNDUP((X$1)/10,0)*10,[1]Hugst!$R$4:$W$4,0))))</f>
        <v>157.59400903765709</v>
      </c>
      <c r="Y177" s="168">
        <f ca="1">IF($C177-Y$1&lt;År1,0,X176*(1-VLOOKUP($A177,[1]Hugst!$R$5:$W$9,MATCH(ROUNDUP((Y$1)/10,0)*10,[1]Hugst!$R$4:$W$4,0))))</f>
        <v>158.38593873131322</v>
      </c>
      <c r="Z177" s="168">
        <f ca="1">IF($C177-Z$1&lt;År1,0,Y176*(1-VLOOKUP($A177,[1]Hugst!$R$5:$W$9,MATCH(ROUNDUP((Z$1)/10,0)*10,[1]Hugst!$R$4:$W$4,0))))</f>
        <v>159.18184797116919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176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143.27758010448088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143.27758010448088</v>
      </c>
      <c r="G178" s="168">
        <f ca="1">IF($C178-G$1&lt;År1,0,F177*(1-VLOOKUP($A178,[1]Hugst!$R$5:$W$9,MATCH(ROUNDUP((G$1)/10,0)*10,[1]Hugst!$R$4:$W$4,0))))</f>
        <v>143.99756794419955</v>
      </c>
      <c r="H178" s="168">
        <f ca="1">IF($C178-H$1&lt;År1,0,G177*(1-VLOOKUP($A178,[1]Hugst!$R$5:$W$9,MATCH(ROUNDUP((H$1)/10,0)*10,[1]Hugst!$R$4:$W$4,0))))</f>
        <v>144.72117381326461</v>
      </c>
      <c r="I178" s="168">
        <f ca="1">IF($C178-I$1&lt;År1,0,H177*(1-VLOOKUP($A178,[1]Hugst!$R$5:$W$9,MATCH(ROUNDUP((I$1)/10,0)*10,[1]Hugst!$R$4:$W$4,0))))</f>
        <v>145.44841589273346</v>
      </c>
      <c r="J178" s="168">
        <f ca="1">IF($C178-J$1&lt;År1,0,I177*(1-VLOOKUP($A178,[1]Hugst!$R$5:$W$9,MATCH(ROUNDUP((J$1)/10,0)*10,[1]Hugst!$R$4:$W$4,0))))</f>
        <v>146.17931245500586</v>
      </c>
      <c r="K178" s="168">
        <f ca="1">IF($C178-K$1&lt;År1,0,J177*(1-VLOOKUP($A178,[1]Hugst!$R$5:$W$9,MATCH(ROUNDUP((K$1)/10,0)*10,[1]Hugst!$R$4:$W$4,0))))</f>
        <v>146.91388186432596</v>
      </c>
      <c r="L178" s="168">
        <f ca="1">IF($C178-L$1&lt;År1,0,K177*(1-VLOOKUP($A178,[1]Hugst!$R$5:$W$9,MATCH(ROUNDUP((L$1)/10,0)*10,[1]Hugst!$R$4:$W$4,0))))</f>
        <v>147.65214257721527</v>
      </c>
      <c r="M178" s="168">
        <f ca="1">IF($C178-M$1&lt;År1,0,L177*(1-VLOOKUP($A178,[1]Hugst!$R$5:$W$9,MATCH(ROUNDUP((M$1)/10,0)*10,[1]Hugst!$R$4:$W$4,0))))</f>
        <v>148.39411314292738</v>
      </c>
      <c r="N178" s="168">
        <f ca="1">IF($C178-N$1&lt;År1,0,M177*(1-VLOOKUP($A178,[1]Hugst!$R$5:$W$9,MATCH(ROUNDUP((N$1)/10,0)*10,[1]Hugst!$R$4:$W$4,0))))</f>
        <v>149.13981220394635</v>
      </c>
      <c r="O178" s="168">
        <f ca="1">IF($C178-O$1&lt;År1,0,N177*(1-VLOOKUP($A178,[1]Hugst!$R$5:$W$9,MATCH(ROUNDUP((O$1)/10,0)*10,[1]Hugst!$R$4:$W$4,0))))</f>
        <v>149.88925849643056</v>
      </c>
      <c r="P178" s="168">
        <f ca="1">IF($C178-P$1&lt;År1,0,O177*(1-VLOOKUP($A178,[1]Hugst!$R$5:$W$9,MATCH(ROUNDUP((P$1)/10,0)*10,[1]Hugst!$R$4:$W$4,0))))</f>
        <v>150.64247085067836</v>
      </c>
      <c r="Q178" s="168">
        <f ca="1">IF($C178-Q$1&lt;År1,0,P177*(1-VLOOKUP($A178,[1]Hugst!$R$5:$W$9,MATCH(ROUNDUP((Q$1)/10,0)*10,[1]Hugst!$R$4:$W$4,0))))</f>
        <v>151.3994681916447</v>
      </c>
      <c r="R178" s="168">
        <f ca="1">IF($C178-R$1&lt;År1,0,Q177*(1-VLOOKUP($A178,[1]Hugst!$R$5:$W$9,MATCH(ROUNDUP((R$1)/10,0)*10,[1]Hugst!$R$4:$W$4,0))))</f>
        <v>152.16026953933761</v>
      </c>
      <c r="S178" s="168">
        <f ca="1">IF($C178-S$1&lt;År1,0,R177*(1-VLOOKUP($A178,[1]Hugst!$R$5:$W$9,MATCH(ROUNDUP((S$1)/10,0)*10,[1]Hugst!$R$4:$W$4,0))))</f>
        <v>152.92489400938575</v>
      </c>
      <c r="T178" s="168">
        <f ca="1">IF($C178-T$1&lt;År1,0,S177*(1-VLOOKUP($A178,[1]Hugst!$R$5:$W$9,MATCH(ROUNDUP((T$1)/10,0)*10,[1]Hugst!$R$4:$W$4,0))))</f>
        <v>153.69336081344954</v>
      </c>
      <c r="U178" s="168">
        <f ca="1">IF($C178-U$1&lt;År1,0,T177*(1-VLOOKUP($A178,[1]Hugst!$R$5:$W$9,MATCH(ROUNDUP((U$1)/10,0)*10,[1]Hugst!$R$4:$W$4,0))))</f>
        <v>154.46568925975589</v>
      </c>
      <c r="V178" s="168">
        <f ca="1">IF($C178-V$1&lt;År1,0,U177*(1-VLOOKUP($A178,[1]Hugst!$R$5:$W$9,MATCH(ROUNDUP((V$1)/10,0)*10,[1]Hugst!$R$4:$W$4,0))))</f>
        <v>155.24189875351658</v>
      </c>
      <c r="W178" s="168">
        <f ca="1">IF($C178-W$1&lt;År1,0,V177*(1-VLOOKUP($A178,[1]Hugst!$R$5:$W$9,MATCH(ROUNDUP((W$1)/10,0)*10,[1]Hugst!$R$4:$W$4,0))))</f>
        <v>156.02200879750671</v>
      </c>
      <c r="X178" s="168">
        <f ca="1">IF($C178-X$1&lt;År1,0,W177*(1-VLOOKUP($A178,[1]Hugst!$R$5:$W$9,MATCH(ROUNDUP((X$1)/10,0)*10,[1]Hugst!$R$4:$W$4,0))))</f>
        <v>156.80603899246489</v>
      </c>
      <c r="Y178" s="168">
        <f ca="1">IF($C178-Y$1&lt;År1,0,X177*(1-VLOOKUP($A178,[1]Hugst!$R$5:$W$9,MATCH(ROUNDUP((Y$1)/10,0)*10,[1]Hugst!$R$4:$W$4,0))))</f>
        <v>157.59400903765709</v>
      </c>
      <c r="Z178" s="168">
        <f ca="1">IF($C178-Z$1&lt;År1,0,Y177*(1-VLOOKUP($A178,[1]Hugst!$R$5:$W$9,MATCH(ROUNDUP((Z$1)/10,0)*10,[1]Hugst!$R$4:$W$4,0))))</f>
        <v>158.38593873131322</v>
      </c>
      <c r="AA178" s="168">
        <f ca="1">IF($C178-AA$1&lt;År1,0,Z177*(1-VLOOKUP($A178,[1]Hugst!$R$5:$W$9,MATCH(ROUNDUP((AA$1)/10,0)*10,[1]Hugst!$R$4:$W$4,0))))</f>
        <v>159.18184797116919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176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142.56119220395703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142.56119220395703</v>
      </c>
      <c r="G179" s="168">
        <f ca="1">IF($C179-G$1&lt;År1,0,F178*(1-VLOOKUP($A179,[1]Hugst!$R$5:$W$9,MATCH(ROUNDUP((G$1)/10,0)*10,[1]Hugst!$R$4:$W$4,0))))</f>
        <v>143.27758010448088</v>
      </c>
      <c r="H179" s="168">
        <f ca="1">IF($C179-H$1&lt;År1,0,G178*(1-VLOOKUP($A179,[1]Hugst!$R$5:$W$9,MATCH(ROUNDUP((H$1)/10,0)*10,[1]Hugst!$R$4:$W$4,0))))</f>
        <v>143.99756794419955</v>
      </c>
      <c r="I179" s="168">
        <f ca="1">IF($C179-I$1&lt;År1,0,H178*(1-VLOOKUP($A179,[1]Hugst!$R$5:$W$9,MATCH(ROUNDUP((I$1)/10,0)*10,[1]Hugst!$R$4:$W$4,0))))</f>
        <v>144.72117381326461</v>
      </c>
      <c r="J179" s="168">
        <f ca="1">IF($C179-J$1&lt;År1,0,I178*(1-VLOOKUP($A179,[1]Hugst!$R$5:$W$9,MATCH(ROUNDUP((J$1)/10,0)*10,[1]Hugst!$R$4:$W$4,0))))</f>
        <v>145.44841589273346</v>
      </c>
      <c r="K179" s="168">
        <f ca="1">IF($C179-K$1&lt;År1,0,J178*(1-VLOOKUP($A179,[1]Hugst!$R$5:$W$9,MATCH(ROUNDUP((K$1)/10,0)*10,[1]Hugst!$R$4:$W$4,0))))</f>
        <v>146.17931245500586</v>
      </c>
      <c r="L179" s="168">
        <f ca="1">IF($C179-L$1&lt;År1,0,K178*(1-VLOOKUP($A179,[1]Hugst!$R$5:$W$9,MATCH(ROUNDUP((L$1)/10,0)*10,[1]Hugst!$R$4:$W$4,0))))</f>
        <v>146.91388186432596</v>
      </c>
      <c r="M179" s="168">
        <f ca="1">IF($C179-M$1&lt;År1,0,L178*(1-VLOOKUP($A179,[1]Hugst!$R$5:$W$9,MATCH(ROUNDUP((M$1)/10,0)*10,[1]Hugst!$R$4:$W$4,0))))</f>
        <v>147.65214257721527</v>
      </c>
      <c r="N179" s="168">
        <f ca="1">IF($C179-N$1&lt;År1,0,M178*(1-VLOOKUP($A179,[1]Hugst!$R$5:$W$9,MATCH(ROUNDUP((N$1)/10,0)*10,[1]Hugst!$R$4:$W$4,0))))</f>
        <v>148.39411314292738</v>
      </c>
      <c r="O179" s="168">
        <f ca="1">IF($C179-O$1&lt;År1,0,N178*(1-VLOOKUP($A179,[1]Hugst!$R$5:$W$9,MATCH(ROUNDUP((O$1)/10,0)*10,[1]Hugst!$R$4:$W$4,0))))</f>
        <v>149.13981220394635</v>
      </c>
      <c r="P179" s="168">
        <f ca="1">IF($C179-P$1&lt;År1,0,O178*(1-VLOOKUP($A179,[1]Hugst!$R$5:$W$9,MATCH(ROUNDUP((P$1)/10,0)*10,[1]Hugst!$R$4:$W$4,0))))</f>
        <v>149.88925849643056</v>
      </c>
      <c r="Q179" s="168">
        <f ca="1">IF($C179-Q$1&lt;År1,0,P178*(1-VLOOKUP($A179,[1]Hugst!$R$5:$W$9,MATCH(ROUNDUP((Q$1)/10,0)*10,[1]Hugst!$R$4:$W$4,0))))</f>
        <v>150.64247085067836</v>
      </c>
      <c r="R179" s="168">
        <f ca="1">IF($C179-R$1&lt;År1,0,Q178*(1-VLOOKUP($A179,[1]Hugst!$R$5:$W$9,MATCH(ROUNDUP((R$1)/10,0)*10,[1]Hugst!$R$4:$W$4,0))))</f>
        <v>151.3994681916447</v>
      </c>
      <c r="S179" s="168">
        <f ca="1">IF($C179-S$1&lt;År1,0,R178*(1-VLOOKUP($A179,[1]Hugst!$R$5:$W$9,MATCH(ROUNDUP((S$1)/10,0)*10,[1]Hugst!$R$4:$W$4,0))))</f>
        <v>152.16026953933761</v>
      </c>
      <c r="T179" s="168">
        <f ca="1">IF($C179-T$1&lt;År1,0,S178*(1-VLOOKUP($A179,[1]Hugst!$R$5:$W$9,MATCH(ROUNDUP((T$1)/10,0)*10,[1]Hugst!$R$4:$W$4,0))))</f>
        <v>152.92489400938575</v>
      </c>
      <c r="U179" s="168">
        <f ca="1">IF($C179-U$1&lt;År1,0,T178*(1-VLOOKUP($A179,[1]Hugst!$R$5:$W$9,MATCH(ROUNDUP((U$1)/10,0)*10,[1]Hugst!$R$4:$W$4,0))))</f>
        <v>153.69336081344954</v>
      </c>
      <c r="V179" s="168">
        <f ca="1">IF($C179-V$1&lt;År1,0,U178*(1-VLOOKUP($A179,[1]Hugst!$R$5:$W$9,MATCH(ROUNDUP((V$1)/10,0)*10,[1]Hugst!$R$4:$W$4,0))))</f>
        <v>154.46568925975589</v>
      </c>
      <c r="W179" s="168">
        <f ca="1">IF($C179-W$1&lt;År1,0,V178*(1-VLOOKUP($A179,[1]Hugst!$R$5:$W$9,MATCH(ROUNDUP((W$1)/10,0)*10,[1]Hugst!$R$4:$W$4,0))))</f>
        <v>155.24189875351658</v>
      </c>
      <c r="X179" s="168">
        <f ca="1">IF($C179-X$1&lt;År1,0,W178*(1-VLOOKUP($A179,[1]Hugst!$R$5:$W$9,MATCH(ROUNDUP((X$1)/10,0)*10,[1]Hugst!$R$4:$W$4,0))))</f>
        <v>156.02200879750671</v>
      </c>
      <c r="Y179" s="168">
        <f ca="1">IF($C179-Y$1&lt;År1,0,X178*(1-VLOOKUP($A179,[1]Hugst!$R$5:$W$9,MATCH(ROUNDUP((Y$1)/10,0)*10,[1]Hugst!$R$4:$W$4,0))))</f>
        <v>156.80603899246489</v>
      </c>
      <c r="Z179" s="168">
        <f ca="1">IF($C179-Z$1&lt;År1,0,Y178*(1-VLOOKUP($A179,[1]Hugst!$R$5:$W$9,MATCH(ROUNDUP((Z$1)/10,0)*10,[1]Hugst!$R$4:$W$4,0))))</f>
        <v>157.59400903765709</v>
      </c>
      <c r="AA179" s="168">
        <f ca="1">IF($C179-AA$1&lt;År1,0,Z178*(1-VLOOKUP($A179,[1]Hugst!$R$5:$W$9,MATCH(ROUNDUP((AA$1)/10,0)*10,[1]Hugst!$R$4:$W$4,0))))</f>
        <v>158.38593873131322</v>
      </c>
      <c r="AB179" s="168">
        <f ca="1">IF($C179-AB$1&lt;År1,0,AA178*(1-VLOOKUP($A179,[1]Hugst!$R$5:$W$9,MATCH(ROUNDUP((AB$1)/10,0)*10,[1]Hugst!$R$4:$W$4,0))))</f>
        <v>159.18184797116919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176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141.84838624293843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141.84838624293843</v>
      </c>
      <c r="G180" s="168">
        <f ca="1">IF($C180-G$1&lt;År1,0,F179*(1-VLOOKUP($A180,[1]Hugst!$R$5:$W$9,MATCH(ROUNDUP((G$1)/10,0)*10,[1]Hugst!$R$4:$W$4,0))))</f>
        <v>142.56119220395703</v>
      </c>
      <c r="H180" s="168">
        <f ca="1">IF($C180-H$1&lt;År1,0,G179*(1-VLOOKUP($A180,[1]Hugst!$R$5:$W$9,MATCH(ROUNDUP((H$1)/10,0)*10,[1]Hugst!$R$4:$W$4,0))))</f>
        <v>143.27758010448088</v>
      </c>
      <c r="I180" s="168">
        <f ca="1">IF($C180-I$1&lt;År1,0,H179*(1-VLOOKUP($A180,[1]Hugst!$R$5:$W$9,MATCH(ROUNDUP((I$1)/10,0)*10,[1]Hugst!$R$4:$W$4,0))))</f>
        <v>143.99756794419955</v>
      </c>
      <c r="J180" s="168">
        <f ca="1">IF($C180-J$1&lt;År1,0,I179*(1-VLOOKUP($A180,[1]Hugst!$R$5:$W$9,MATCH(ROUNDUP((J$1)/10,0)*10,[1]Hugst!$R$4:$W$4,0))))</f>
        <v>144.72117381326461</v>
      </c>
      <c r="K180" s="168">
        <f ca="1">IF($C180-K$1&lt;År1,0,J179*(1-VLOOKUP($A180,[1]Hugst!$R$5:$W$9,MATCH(ROUNDUP((K$1)/10,0)*10,[1]Hugst!$R$4:$W$4,0))))</f>
        <v>145.44841589273346</v>
      </c>
      <c r="L180" s="168">
        <f ca="1">IF($C180-L$1&lt;År1,0,K179*(1-VLOOKUP($A180,[1]Hugst!$R$5:$W$9,MATCH(ROUNDUP((L$1)/10,0)*10,[1]Hugst!$R$4:$W$4,0))))</f>
        <v>146.17931245500586</v>
      </c>
      <c r="M180" s="168">
        <f ca="1">IF($C180-M$1&lt;År1,0,L179*(1-VLOOKUP($A180,[1]Hugst!$R$5:$W$9,MATCH(ROUNDUP((M$1)/10,0)*10,[1]Hugst!$R$4:$W$4,0))))</f>
        <v>146.91388186432596</v>
      </c>
      <c r="N180" s="168">
        <f ca="1">IF($C180-N$1&lt;År1,0,M179*(1-VLOOKUP($A180,[1]Hugst!$R$5:$W$9,MATCH(ROUNDUP((N$1)/10,0)*10,[1]Hugst!$R$4:$W$4,0))))</f>
        <v>147.65214257721527</v>
      </c>
      <c r="O180" s="168">
        <f ca="1">IF($C180-O$1&lt;År1,0,N179*(1-VLOOKUP($A180,[1]Hugst!$R$5:$W$9,MATCH(ROUNDUP((O$1)/10,0)*10,[1]Hugst!$R$4:$W$4,0))))</f>
        <v>148.39411314292738</v>
      </c>
      <c r="P180" s="168">
        <f ca="1">IF($C180-P$1&lt;År1,0,O179*(1-VLOOKUP($A180,[1]Hugst!$R$5:$W$9,MATCH(ROUNDUP((P$1)/10,0)*10,[1]Hugst!$R$4:$W$4,0))))</f>
        <v>149.13981220394635</v>
      </c>
      <c r="Q180" s="168">
        <f ca="1">IF($C180-Q$1&lt;År1,0,P179*(1-VLOOKUP($A180,[1]Hugst!$R$5:$W$9,MATCH(ROUNDUP((Q$1)/10,0)*10,[1]Hugst!$R$4:$W$4,0))))</f>
        <v>149.88925849643056</v>
      </c>
      <c r="R180" s="168">
        <f ca="1">IF($C180-R$1&lt;År1,0,Q179*(1-VLOOKUP($A180,[1]Hugst!$R$5:$W$9,MATCH(ROUNDUP((R$1)/10,0)*10,[1]Hugst!$R$4:$W$4,0))))</f>
        <v>150.64247085067836</v>
      </c>
      <c r="S180" s="168">
        <f ca="1">IF($C180-S$1&lt;År1,0,R179*(1-VLOOKUP($A180,[1]Hugst!$R$5:$W$9,MATCH(ROUNDUP((S$1)/10,0)*10,[1]Hugst!$R$4:$W$4,0))))</f>
        <v>151.3994681916447</v>
      </c>
      <c r="T180" s="168">
        <f ca="1">IF($C180-T$1&lt;År1,0,S179*(1-VLOOKUP($A180,[1]Hugst!$R$5:$W$9,MATCH(ROUNDUP((T$1)/10,0)*10,[1]Hugst!$R$4:$W$4,0))))</f>
        <v>152.16026953933761</v>
      </c>
      <c r="U180" s="168">
        <f ca="1">IF($C180-U$1&lt;År1,0,T179*(1-VLOOKUP($A180,[1]Hugst!$R$5:$W$9,MATCH(ROUNDUP((U$1)/10,0)*10,[1]Hugst!$R$4:$W$4,0))))</f>
        <v>152.92489400938575</v>
      </c>
      <c r="V180" s="168">
        <f ca="1">IF($C180-V$1&lt;År1,0,U179*(1-VLOOKUP($A180,[1]Hugst!$R$5:$W$9,MATCH(ROUNDUP((V$1)/10,0)*10,[1]Hugst!$R$4:$W$4,0))))</f>
        <v>153.69336081344954</v>
      </c>
      <c r="W180" s="168">
        <f ca="1">IF($C180-W$1&lt;År1,0,V179*(1-VLOOKUP($A180,[1]Hugst!$R$5:$W$9,MATCH(ROUNDUP((W$1)/10,0)*10,[1]Hugst!$R$4:$W$4,0))))</f>
        <v>154.46568925975589</v>
      </c>
      <c r="X180" s="168">
        <f ca="1">IF($C180-X$1&lt;År1,0,W179*(1-VLOOKUP($A180,[1]Hugst!$R$5:$W$9,MATCH(ROUNDUP((X$1)/10,0)*10,[1]Hugst!$R$4:$W$4,0))))</f>
        <v>155.24189875351658</v>
      </c>
      <c r="Y180" s="168">
        <f ca="1">IF($C180-Y$1&lt;År1,0,X179*(1-VLOOKUP($A180,[1]Hugst!$R$5:$W$9,MATCH(ROUNDUP((Y$1)/10,0)*10,[1]Hugst!$R$4:$W$4,0))))</f>
        <v>156.02200879750671</v>
      </c>
      <c r="Z180" s="168">
        <f ca="1">IF($C180-Z$1&lt;År1,0,Y179*(1-VLOOKUP($A180,[1]Hugst!$R$5:$W$9,MATCH(ROUNDUP((Z$1)/10,0)*10,[1]Hugst!$R$4:$W$4,0))))</f>
        <v>156.80603899246489</v>
      </c>
      <c r="AA180" s="168">
        <f ca="1">IF($C180-AA$1&lt;År1,0,Z179*(1-VLOOKUP($A180,[1]Hugst!$R$5:$W$9,MATCH(ROUNDUP((AA$1)/10,0)*10,[1]Hugst!$R$4:$W$4,0))))</f>
        <v>157.59400903765709</v>
      </c>
      <c r="AB180" s="168">
        <f ca="1">IF($C180-AB$1&lt;År1,0,AA179*(1-VLOOKUP($A180,[1]Hugst!$R$5:$W$9,MATCH(ROUNDUP((AB$1)/10,0)*10,[1]Hugst!$R$4:$W$4,0))))</f>
        <v>158.38593873131322</v>
      </c>
      <c r="AC180" s="168">
        <f ca="1">IF($C180-AC$1&lt;År1,0,AB179*(1-VLOOKUP($A180,[1]Hugst!$R$5:$W$9,MATCH(ROUNDUP((AC$1)/10,0)*10,[1]Hugst!$R$4:$W$4,0))))</f>
        <v>159.18184797116919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176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141.13914431172088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141.13914431172088</v>
      </c>
      <c r="G181" s="168">
        <f ca="1">IF($C181-G$1&lt;År1,0,F180*(1-VLOOKUP($A181,[1]Hugst!$R$5:$W$9,MATCH(ROUNDUP((G$1)/10,0)*10,[1]Hugst!$R$4:$W$4,0))))</f>
        <v>141.84838624293843</v>
      </c>
      <c r="H181" s="168">
        <f ca="1">IF($C181-H$1&lt;År1,0,G180*(1-VLOOKUP($A181,[1]Hugst!$R$5:$W$9,MATCH(ROUNDUP((H$1)/10,0)*10,[1]Hugst!$R$4:$W$4,0))))</f>
        <v>142.56119220395703</v>
      </c>
      <c r="I181" s="168">
        <f ca="1">IF($C181-I$1&lt;År1,0,H180*(1-VLOOKUP($A181,[1]Hugst!$R$5:$W$9,MATCH(ROUNDUP((I$1)/10,0)*10,[1]Hugst!$R$4:$W$4,0))))</f>
        <v>143.27758010448088</v>
      </c>
      <c r="J181" s="168">
        <f ca="1">IF($C181-J$1&lt;År1,0,I180*(1-VLOOKUP($A181,[1]Hugst!$R$5:$W$9,MATCH(ROUNDUP((J$1)/10,0)*10,[1]Hugst!$R$4:$W$4,0))))</f>
        <v>143.99756794419955</v>
      </c>
      <c r="K181" s="168">
        <f ca="1">IF($C181-K$1&lt;År1,0,J180*(1-VLOOKUP($A181,[1]Hugst!$R$5:$W$9,MATCH(ROUNDUP((K$1)/10,0)*10,[1]Hugst!$R$4:$W$4,0))))</f>
        <v>144.72117381326461</v>
      </c>
      <c r="L181" s="168">
        <f ca="1">IF($C181-L$1&lt;År1,0,K180*(1-VLOOKUP($A181,[1]Hugst!$R$5:$W$9,MATCH(ROUNDUP((L$1)/10,0)*10,[1]Hugst!$R$4:$W$4,0))))</f>
        <v>145.44841589273346</v>
      </c>
      <c r="M181" s="168">
        <f ca="1">IF($C181-M$1&lt;År1,0,L180*(1-VLOOKUP($A181,[1]Hugst!$R$5:$W$9,MATCH(ROUNDUP((M$1)/10,0)*10,[1]Hugst!$R$4:$W$4,0))))</f>
        <v>146.17931245500586</v>
      </c>
      <c r="N181" s="168">
        <f ca="1">IF($C181-N$1&lt;År1,0,M180*(1-VLOOKUP($A181,[1]Hugst!$R$5:$W$9,MATCH(ROUNDUP((N$1)/10,0)*10,[1]Hugst!$R$4:$W$4,0))))</f>
        <v>146.91388186432596</v>
      </c>
      <c r="O181" s="168">
        <f ca="1">IF($C181-O$1&lt;År1,0,N180*(1-VLOOKUP($A181,[1]Hugst!$R$5:$W$9,MATCH(ROUNDUP((O$1)/10,0)*10,[1]Hugst!$R$4:$W$4,0))))</f>
        <v>147.65214257721527</v>
      </c>
      <c r="P181" s="168">
        <f ca="1">IF($C181-P$1&lt;År1,0,O180*(1-VLOOKUP($A181,[1]Hugst!$R$5:$W$9,MATCH(ROUNDUP((P$1)/10,0)*10,[1]Hugst!$R$4:$W$4,0))))</f>
        <v>148.39411314292738</v>
      </c>
      <c r="Q181" s="168">
        <f ca="1">IF($C181-Q$1&lt;År1,0,P180*(1-VLOOKUP($A181,[1]Hugst!$R$5:$W$9,MATCH(ROUNDUP((Q$1)/10,0)*10,[1]Hugst!$R$4:$W$4,0))))</f>
        <v>149.13981220394635</v>
      </c>
      <c r="R181" s="168">
        <f ca="1">IF($C181-R$1&lt;År1,0,Q180*(1-VLOOKUP($A181,[1]Hugst!$R$5:$W$9,MATCH(ROUNDUP((R$1)/10,0)*10,[1]Hugst!$R$4:$W$4,0))))</f>
        <v>149.88925849643056</v>
      </c>
      <c r="S181" s="168">
        <f ca="1">IF($C181-S$1&lt;År1,0,R180*(1-VLOOKUP($A181,[1]Hugst!$R$5:$W$9,MATCH(ROUNDUP((S$1)/10,0)*10,[1]Hugst!$R$4:$W$4,0))))</f>
        <v>150.64247085067836</v>
      </c>
      <c r="T181" s="168">
        <f ca="1">IF($C181-T$1&lt;År1,0,S180*(1-VLOOKUP($A181,[1]Hugst!$R$5:$W$9,MATCH(ROUNDUP((T$1)/10,0)*10,[1]Hugst!$R$4:$W$4,0))))</f>
        <v>151.3994681916447</v>
      </c>
      <c r="U181" s="168">
        <f ca="1">IF($C181-U$1&lt;År1,0,T180*(1-VLOOKUP($A181,[1]Hugst!$R$5:$W$9,MATCH(ROUNDUP((U$1)/10,0)*10,[1]Hugst!$R$4:$W$4,0))))</f>
        <v>152.16026953933761</v>
      </c>
      <c r="V181" s="168">
        <f ca="1">IF($C181-V$1&lt;År1,0,U180*(1-VLOOKUP($A181,[1]Hugst!$R$5:$W$9,MATCH(ROUNDUP((V$1)/10,0)*10,[1]Hugst!$R$4:$W$4,0))))</f>
        <v>152.92489400938575</v>
      </c>
      <c r="W181" s="168">
        <f ca="1">IF($C181-W$1&lt;År1,0,V180*(1-VLOOKUP($A181,[1]Hugst!$R$5:$W$9,MATCH(ROUNDUP((W$1)/10,0)*10,[1]Hugst!$R$4:$W$4,0))))</f>
        <v>153.69336081344954</v>
      </c>
      <c r="X181" s="168">
        <f ca="1">IF($C181-X$1&lt;År1,0,W180*(1-VLOOKUP($A181,[1]Hugst!$R$5:$W$9,MATCH(ROUNDUP((X$1)/10,0)*10,[1]Hugst!$R$4:$W$4,0))))</f>
        <v>154.46568925975589</v>
      </c>
      <c r="Y181" s="168">
        <f ca="1">IF($C181-Y$1&lt;År1,0,X180*(1-VLOOKUP($A181,[1]Hugst!$R$5:$W$9,MATCH(ROUNDUP((Y$1)/10,0)*10,[1]Hugst!$R$4:$W$4,0))))</f>
        <v>155.24189875351658</v>
      </c>
      <c r="Z181" s="168">
        <f ca="1">IF($C181-Z$1&lt;År1,0,Y180*(1-VLOOKUP($A181,[1]Hugst!$R$5:$W$9,MATCH(ROUNDUP((Z$1)/10,0)*10,[1]Hugst!$R$4:$W$4,0))))</f>
        <v>156.02200879750671</v>
      </c>
      <c r="AA181" s="168">
        <f ca="1">IF($C181-AA$1&lt;År1,0,Z180*(1-VLOOKUP($A181,[1]Hugst!$R$5:$W$9,MATCH(ROUNDUP((AA$1)/10,0)*10,[1]Hugst!$R$4:$W$4,0))))</f>
        <v>156.80603899246489</v>
      </c>
      <c r="AB181" s="168">
        <f ca="1">IF($C181-AB$1&lt;År1,0,AA180*(1-VLOOKUP($A181,[1]Hugst!$R$5:$W$9,MATCH(ROUNDUP((AB$1)/10,0)*10,[1]Hugst!$R$4:$W$4,0))))</f>
        <v>157.59400903765709</v>
      </c>
      <c r="AC181" s="168">
        <f ca="1">IF($C181-AC$1&lt;År1,0,AB180*(1-VLOOKUP($A181,[1]Hugst!$R$5:$W$9,MATCH(ROUNDUP((AC$1)/10,0)*10,[1]Hugst!$R$4:$W$4,0))))</f>
        <v>158.38593873131322</v>
      </c>
      <c r="AD181" s="168">
        <f ca="1">IF($C181-AD$1&lt;År1,0,AC180*(1-VLOOKUP($A181,[1]Hugst!$R$5:$W$9,MATCH(ROUNDUP((AD$1)/10,0)*10,[1]Hugst!$R$4:$W$4,0))))</f>
        <v>159.18184797116919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176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140.43344859016361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140.43344859016361</v>
      </c>
      <c r="G182" s="168">
        <f ca="1">IF($C182-G$1&lt;År1,0,F181*(1-VLOOKUP($A182,[1]Hugst!$R$5:$W$9,MATCH(ROUNDUP((G$1)/10,0)*10,[1]Hugst!$R$4:$W$4,0))))</f>
        <v>141.13914431172088</v>
      </c>
      <c r="H182" s="168">
        <f ca="1">IF($C182-H$1&lt;År1,0,G181*(1-VLOOKUP($A182,[1]Hugst!$R$5:$W$9,MATCH(ROUNDUP((H$1)/10,0)*10,[1]Hugst!$R$4:$W$4,0))))</f>
        <v>141.84838624293843</v>
      </c>
      <c r="I182" s="168">
        <f ca="1">IF($C182-I$1&lt;År1,0,H181*(1-VLOOKUP($A182,[1]Hugst!$R$5:$W$9,MATCH(ROUNDUP((I$1)/10,0)*10,[1]Hugst!$R$4:$W$4,0))))</f>
        <v>142.56119220395703</v>
      </c>
      <c r="J182" s="168">
        <f ca="1">IF($C182-J$1&lt;År1,0,I181*(1-VLOOKUP($A182,[1]Hugst!$R$5:$W$9,MATCH(ROUNDUP((J$1)/10,0)*10,[1]Hugst!$R$4:$W$4,0))))</f>
        <v>143.27758010448088</v>
      </c>
      <c r="K182" s="168">
        <f ca="1">IF($C182-K$1&lt;År1,0,J181*(1-VLOOKUP($A182,[1]Hugst!$R$5:$W$9,MATCH(ROUNDUP((K$1)/10,0)*10,[1]Hugst!$R$4:$W$4,0))))</f>
        <v>143.99756794419955</v>
      </c>
      <c r="L182" s="168">
        <f ca="1">IF($C182-L$1&lt;År1,0,K181*(1-VLOOKUP($A182,[1]Hugst!$R$5:$W$9,MATCH(ROUNDUP((L$1)/10,0)*10,[1]Hugst!$R$4:$W$4,0))))</f>
        <v>144.72117381326461</v>
      </c>
      <c r="M182" s="168">
        <f ca="1">IF($C182-M$1&lt;År1,0,L181*(1-VLOOKUP($A182,[1]Hugst!$R$5:$W$9,MATCH(ROUNDUP((M$1)/10,0)*10,[1]Hugst!$R$4:$W$4,0))))</f>
        <v>145.44841589273346</v>
      </c>
      <c r="N182" s="168">
        <f ca="1">IF($C182-N$1&lt;År1,0,M181*(1-VLOOKUP($A182,[1]Hugst!$R$5:$W$9,MATCH(ROUNDUP((N$1)/10,0)*10,[1]Hugst!$R$4:$W$4,0))))</f>
        <v>146.17931245500586</v>
      </c>
      <c r="O182" s="168">
        <f ca="1">IF($C182-O$1&lt;År1,0,N181*(1-VLOOKUP($A182,[1]Hugst!$R$5:$W$9,MATCH(ROUNDUP((O$1)/10,0)*10,[1]Hugst!$R$4:$W$4,0))))</f>
        <v>146.91388186432596</v>
      </c>
      <c r="P182" s="168">
        <f ca="1">IF($C182-P$1&lt;År1,0,O181*(1-VLOOKUP($A182,[1]Hugst!$R$5:$W$9,MATCH(ROUNDUP((P$1)/10,0)*10,[1]Hugst!$R$4:$W$4,0))))</f>
        <v>147.65214257721527</v>
      </c>
      <c r="Q182" s="168">
        <f ca="1">IF($C182-Q$1&lt;År1,0,P181*(1-VLOOKUP($A182,[1]Hugst!$R$5:$W$9,MATCH(ROUNDUP((Q$1)/10,0)*10,[1]Hugst!$R$4:$W$4,0))))</f>
        <v>148.39411314292738</v>
      </c>
      <c r="R182" s="168">
        <f ca="1">IF($C182-R$1&lt;År1,0,Q181*(1-VLOOKUP($A182,[1]Hugst!$R$5:$W$9,MATCH(ROUNDUP((R$1)/10,0)*10,[1]Hugst!$R$4:$W$4,0))))</f>
        <v>149.13981220394635</v>
      </c>
      <c r="S182" s="168">
        <f ca="1">IF($C182-S$1&lt;År1,0,R181*(1-VLOOKUP($A182,[1]Hugst!$R$5:$W$9,MATCH(ROUNDUP((S$1)/10,0)*10,[1]Hugst!$R$4:$W$4,0))))</f>
        <v>149.88925849643056</v>
      </c>
      <c r="T182" s="168">
        <f ca="1">IF($C182-T$1&lt;År1,0,S181*(1-VLOOKUP($A182,[1]Hugst!$R$5:$W$9,MATCH(ROUNDUP((T$1)/10,0)*10,[1]Hugst!$R$4:$W$4,0))))</f>
        <v>150.64247085067836</v>
      </c>
      <c r="U182" s="168">
        <f ca="1">IF($C182-U$1&lt;År1,0,T181*(1-VLOOKUP($A182,[1]Hugst!$R$5:$W$9,MATCH(ROUNDUP((U$1)/10,0)*10,[1]Hugst!$R$4:$W$4,0))))</f>
        <v>151.3994681916447</v>
      </c>
      <c r="V182" s="168">
        <f ca="1">IF($C182-V$1&lt;År1,0,U181*(1-VLOOKUP($A182,[1]Hugst!$R$5:$W$9,MATCH(ROUNDUP((V$1)/10,0)*10,[1]Hugst!$R$4:$W$4,0))))</f>
        <v>152.16026953933761</v>
      </c>
      <c r="W182" s="168">
        <f ca="1">IF($C182-W$1&lt;År1,0,V181*(1-VLOOKUP($A182,[1]Hugst!$R$5:$W$9,MATCH(ROUNDUP((W$1)/10,0)*10,[1]Hugst!$R$4:$W$4,0))))</f>
        <v>152.92489400938575</v>
      </c>
      <c r="X182" s="168">
        <f ca="1">IF($C182-X$1&lt;År1,0,W181*(1-VLOOKUP($A182,[1]Hugst!$R$5:$W$9,MATCH(ROUNDUP((X$1)/10,0)*10,[1]Hugst!$R$4:$W$4,0))))</f>
        <v>153.69336081344954</v>
      </c>
      <c r="Y182" s="168">
        <f ca="1">IF($C182-Y$1&lt;År1,0,X181*(1-VLOOKUP($A182,[1]Hugst!$R$5:$W$9,MATCH(ROUNDUP((Y$1)/10,0)*10,[1]Hugst!$R$4:$W$4,0))))</f>
        <v>154.46568925975589</v>
      </c>
      <c r="Z182" s="168">
        <f ca="1">IF($C182-Z$1&lt;År1,0,Y181*(1-VLOOKUP($A182,[1]Hugst!$R$5:$W$9,MATCH(ROUNDUP((Z$1)/10,0)*10,[1]Hugst!$R$4:$W$4,0))))</f>
        <v>155.24189875351658</v>
      </c>
      <c r="AA182" s="168">
        <f ca="1">IF($C182-AA$1&lt;År1,0,Z181*(1-VLOOKUP($A182,[1]Hugst!$R$5:$W$9,MATCH(ROUNDUP((AA$1)/10,0)*10,[1]Hugst!$R$4:$W$4,0))))</f>
        <v>156.02200879750671</v>
      </c>
      <c r="AB182" s="168">
        <f ca="1">IF($C182-AB$1&lt;År1,0,AA181*(1-VLOOKUP($A182,[1]Hugst!$R$5:$W$9,MATCH(ROUNDUP((AB$1)/10,0)*10,[1]Hugst!$R$4:$W$4,0))))</f>
        <v>156.80603899246489</v>
      </c>
      <c r="AC182" s="168">
        <f ca="1">IF($C182-AC$1&lt;År1,0,AB181*(1-VLOOKUP($A182,[1]Hugst!$R$5:$W$9,MATCH(ROUNDUP((AC$1)/10,0)*10,[1]Hugst!$R$4:$W$4,0))))</f>
        <v>157.59400903765709</v>
      </c>
      <c r="AD182" s="168">
        <f ca="1">IF($C182-AD$1&lt;År1,0,AC181*(1-VLOOKUP($A182,[1]Hugst!$R$5:$W$9,MATCH(ROUNDUP((AD$1)/10,0)*10,[1]Hugst!$R$4:$W$4,0))))</f>
        <v>158.38593873131322</v>
      </c>
      <c r="AE182" s="168">
        <f ca="1">IF($C182-AE$1&lt;År1,0,AD181*(1-VLOOKUP($A182,[1]Hugst!$R$5:$W$9,MATCH(ROUNDUP((AE$1)/10,0)*10,[1]Hugst!$R$4:$W$4,0))))</f>
        <v>159.18184797116919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176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139.73128134721628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139.73128134721628</v>
      </c>
      <c r="G183" s="168">
        <f ca="1">IF($C183-G$1&lt;År1,0,F182*(1-VLOOKUP($A183,[1]Hugst!$R$5:$W$9,MATCH(ROUNDUP((G$1)/10,0)*10,[1]Hugst!$R$4:$W$4,0))))</f>
        <v>140.43344859016361</v>
      </c>
      <c r="H183" s="168">
        <f ca="1">IF($C183-H$1&lt;År1,0,G182*(1-VLOOKUP($A183,[1]Hugst!$R$5:$W$9,MATCH(ROUNDUP((H$1)/10,0)*10,[1]Hugst!$R$4:$W$4,0))))</f>
        <v>141.13914431172088</v>
      </c>
      <c r="I183" s="168">
        <f ca="1">IF($C183-I$1&lt;År1,0,H182*(1-VLOOKUP($A183,[1]Hugst!$R$5:$W$9,MATCH(ROUNDUP((I$1)/10,0)*10,[1]Hugst!$R$4:$W$4,0))))</f>
        <v>141.84838624293843</v>
      </c>
      <c r="J183" s="168">
        <f ca="1">IF($C183-J$1&lt;År1,0,I182*(1-VLOOKUP($A183,[1]Hugst!$R$5:$W$9,MATCH(ROUNDUP((J$1)/10,0)*10,[1]Hugst!$R$4:$W$4,0))))</f>
        <v>142.56119220395703</v>
      </c>
      <c r="K183" s="168">
        <f ca="1">IF($C183-K$1&lt;År1,0,J182*(1-VLOOKUP($A183,[1]Hugst!$R$5:$W$9,MATCH(ROUNDUP((K$1)/10,0)*10,[1]Hugst!$R$4:$W$4,0))))</f>
        <v>143.27758010448088</v>
      </c>
      <c r="L183" s="168">
        <f ca="1">IF($C183-L$1&lt;År1,0,K182*(1-VLOOKUP($A183,[1]Hugst!$R$5:$W$9,MATCH(ROUNDUP((L$1)/10,0)*10,[1]Hugst!$R$4:$W$4,0))))</f>
        <v>143.99756794419955</v>
      </c>
      <c r="M183" s="168">
        <f ca="1">IF($C183-M$1&lt;År1,0,L182*(1-VLOOKUP($A183,[1]Hugst!$R$5:$W$9,MATCH(ROUNDUP((M$1)/10,0)*10,[1]Hugst!$R$4:$W$4,0))))</f>
        <v>144.72117381326461</v>
      </c>
      <c r="N183" s="168">
        <f ca="1">IF($C183-N$1&lt;År1,0,M182*(1-VLOOKUP($A183,[1]Hugst!$R$5:$W$9,MATCH(ROUNDUP((N$1)/10,0)*10,[1]Hugst!$R$4:$W$4,0))))</f>
        <v>145.44841589273346</v>
      </c>
      <c r="O183" s="168">
        <f ca="1">IF($C183-O$1&lt;År1,0,N182*(1-VLOOKUP($A183,[1]Hugst!$R$5:$W$9,MATCH(ROUNDUP((O$1)/10,0)*10,[1]Hugst!$R$4:$W$4,0))))</f>
        <v>146.17931245500586</v>
      </c>
      <c r="P183" s="168">
        <f ca="1">IF($C183-P$1&lt;År1,0,O182*(1-VLOOKUP($A183,[1]Hugst!$R$5:$W$9,MATCH(ROUNDUP((P$1)/10,0)*10,[1]Hugst!$R$4:$W$4,0))))</f>
        <v>146.91388186432596</v>
      </c>
      <c r="Q183" s="168">
        <f ca="1">IF($C183-Q$1&lt;År1,0,P182*(1-VLOOKUP($A183,[1]Hugst!$R$5:$W$9,MATCH(ROUNDUP((Q$1)/10,0)*10,[1]Hugst!$R$4:$W$4,0))))</f>
        <v>147.65214257721527</v>
      </c>
      <c r="R183" s="168">
        <f ca="1">IF($C183-R$1&lt;År1,0,Q182*(1-VLOOKUP($A183,[1]Hugst!$R$5:$W$9,MATCH(ROUNDUP((R$1)/10,0)*10,[1]Hugst!$R$4:$W$4,0))))</f>
        <v>148.39411314292738</v>
      </c>
      <c r="S183" s="168">
        <f ca="1">IF($C183-S$1&lt;År1,0,R182*(1-VLOOKUP($A183,[1]Hugst!$R$5:$W$9,MATCH(ROUNDUP((S$1)/10,0)*10,[1]Hugst!$R$4:$W$4,0))))</f>
        <v>149.13981220394635</v>
      </c>
      <c r="T183" s="168">
        <f ca="1">IF($C183-T$1&lt;År1,0,S182*(1-VLOOKUP($A183,[1]Hugst!$R$5:$W$9,MATCH(ROUNDUP((T$1)/10,0)*10,[1]Hugst!$R$4:$W$4,0))))</f>
        <v>149.88925849643056</v>
      </c>
      <c r="U183" s="168">
        <f ca="1">IF($C183-U$1&lt;År1,0,T182*(1-VLOOKUP($A183,[1]Hugst!$R$5:$W$9,MATCH(ROUNDUP((U$1)/10,0)*10,[1]Hugst!$R$4:$W$4,0))))</f>
        <v>150.64247085067836</v>
      </c>
      <c r="V183" s="168">
        <f ca="1">IF($C183-V$1&lt;År1,0,U182*(1-VLOOKUP($A183,[1]Hugst!$R$5:$W$9,MATCH(ROUNDUP((V$1)/10,0)*10,[1]Hugst!$R$4:$W$4,0))))</f>
        <v>151.3994681916447</v>
      </c>
      <c r="W183" s="168">
        <f ca="1">IF($C183-W$1&lt;År1,0,V182*(1-VLOOKUP($A183,[1]Hugst!$R$5:$W$9,MATCH(ROUNDUP((W$1)/10,0)*10,[1]Hugst!$R$4:$W$4,0))))</f>
        <v>152.16026953933761</v>
      </c>
      <c r="X183" s="168">
        <f ca="1">IF($C183-X$1&lt;År1,0,W182*(1-VLOOKUP($A183,[1]Hugst!$R$5:$W$9,MATCH(ROUNDUP((X$1)/10,0)*10,[1]Hugst!$R$4:$W$4,0))))</f>
        <v>152.92489400938575</v>
      </c>
      <c r="Y183" s="168">
        <f ca="1">IF($C183-Y$1&lt;År1,0,X182*(1-VLOOKUP($A183,[1]Hugst!$R$5:$W$9,MATCH(ROUNDUP((Y$1)/10,0)*10,[1]Hugst!$R$4:$W$4,0))))</f>
        <v>153.69336081344954</v>
      </c>
      <c r="Z183" s="168">
        <f ca="1">IF($C183-Z$1&lt;År1,0,Y182*(1-VLOOKUP($A183,[1]Hugst!$R$5:$W$9,MATCH(ROUNDUP((Z$1)/10,0)*10,[1]Hugst!$R$4:$W$4,0))))</f>
        <v>154.46568925975589</v>
      </c>
      <c r="AA183" s="168">
        <f ca="1">IF($C183-AA$1&lt;År1,0,Z182*(1-VLOOKUP($A183,[1]Hugst!$R$5:$W$9,MATCH(ROUNDUP((AA$1)/10,0)*10,[1]Hugst!$R$4:$W$4,0))))</f>
        <v>155.24189875351658</v>
      </c>
      <c r="AB183" s="168">
        <f ca="1">IF($C183-AB$1&lt;År1,0,AA182*(1-VLOOKUP($A183,[1]Hugst!$R$5:$W$9,MATCH(ROUNDUP((AB$1)/10,0)*10,[1]Hugst!$R$4:$W$4,0))))</f>
        <v>156.02200879750671</v>
      </c>
      <c r="AC183" s="168">
        <f ca="1">IF($C183-AC$1&lt;År1,0,AB182*(1-VLOOKUP($A183,[1]Hugst!$R$5:$W$9,MATCH(ROUNDUP((AC$1)/10,0)*10,[1]Hugst!$R$4:$W$4,0))))</f>
        <v>156.80603899246489</v>
      </c>
      <c r="AD183" s="168">
        <f ca="1">IF($C183-AD$1&lt;År1,0,AC182*(1-VLOOKUP($A183,[1]Hugst!$R$5:$W$9,MATCH(ROUNDUP((AD$1)/10,0)*10,[1]Hugst!$R$4:$W$4,0))))</f>
        <v>157.59400903765709</v>
      </c>
      <c r="AE183" s="168">
        <f ca="1">IF($C183-AE$1&lt;År1,0,AD182*(1-VLOOKUP($A183,[1]Hugst!$R$5:$W$9,MATCH(ROUNDUP((AE$1)/10,0)*10,[1]Hugst!$R$4:$W$4,0))))</f>
        <v>158.38593873131322</v>
      </c>
      <c r="AF183" s="168">
        <f ca="1">IF($C183-AF$1&lt;År1,0,AE182*(1-VLOOKUP($A183,[1]Hugst!$R$5:$W$9,MATCH(ROUNDUP((AF$1)/10,0)*10,[1]Hugst!$R$4:$W$4,0))))</f>
        <v>159.18184797116919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176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139.03262494047158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139.03262494047158</v>
      </c>
      <c r="G184" s="168">
        <f ca="1">IF($C184-G$1&lt;År1,0,F183*(1-VLOOKUP($A184,[1]Hugst!$R$5:$W$9,MATCH(ROUNDUP((G$1)/10,0)*10,[1]Hugst!$R$4:$W$4,0))))</f>
        <v>139.73128134721628</v>
      </c>
      <c r="H184" s="168">
        <f ca="1">IF($C184-H$1&lt;År1,0,G183*(1-VLOOKUP($A184,[1]Hugst!$R$5:$W$9,MATCH(ROUNDUP((H$1)/10,0)*10,[1]Hugst!$R$4:$W$4,0))))</f>
        <v>140.43344859016361</v>
      </c>
      <c r="I184" s="168">
        <f ca="1">IF($C184-I$1&lt;År1,0,H183*(1-VLOOKUP($A184,[1]Hugst!$R$5:$W$9,MATCH(ROUNDUP((I$1)/10,0)*10,[1]Hugst!$R$4:$W$4,0))))</f>
        <v>141.13914431172088</v>
      </c>
      <c r="J184" s="168">
        <f ca="1">IF($C184-J$1&lt;År1,0,I183*(1-VLOOKUP($A184,[1]Hugst!$R$5:$W$9,MATCH(ROUNDUP((J$1)/10,0)*10,[1]Hugst!$R$4:$W$4,0))))</f>
        <v>141.84838624293843</v>
      </c>
      <c r="K184" s="168">
        <f ca="1">IF($C184-K$1&lt;År1,0,J183*(1-VLOOKUP($A184,[1]Hugst!$R$5:$W$9,MATCH(ROUNDUP((K$1)/10,0)*10,[1]Hugst!$R$4:$W$4,0))))</f>
        <v>142.56119220395703</v>
      </c>
      <c r="L184" s="168">
        <f ca="1">IF($C184-L$1&lt;År1,0,K183*(1-VLOOKUP($A184,[1]Hugst!$R$5:$W$9,MATCH(ROUNDUP((L$1)/10,0)*10,[1]Hugst!$R$4:$W$4,0))))</f>
        <v>143.27758010448088</v>
      </c>
      <c r="M184" s="168">
        <f ca="1">IF($C184-M$1&lt;År1,0,L183*(1-VLOOKUP($A184,[1]Hugst!$R$5:$W$9,MATCH(ROUNDUP((M$1)/10,0)*10,[1]Hugst!$R$4:$W$4,0))))</f>
        <v>143.99756794419955</v>
      </c>
      <c r="N184" s="168">
        <f ca="1">IF($C184-N$1&lt;År1,0,M183*(1-VLOOKUP($A184,[1]Hugst!$R$5:$W$9,MATCH(ROUNDUP((N$1)/10,0)*10,[1]Hugst!$R$4:$W$4,0))))</f>
        <v>144.72117381326461</v>
      </c>
      <c r="O184" s="168">
        <f ca="1">IF($C184-O$1&lt;År1,0,N183*(1-VLOOKUP($A184,[1]Hugst!$R$5:$W$9,MATCH(ROUNDUP((O$1)/10,0)*10,[1]Hugst!$R$4:$W$4,0))))</f>
        <v>145.44841589273346</v>
      </c>
      <c r="P184" s="168">
        <f ca="1">IF($C184-P$1&lt;År1,0,O183*(1-VLOOKUP($A184,[1]Hugst!$R$5:$W$9,MATCH(ROUNDUP((P$1)/10,0)*10,[1]Hugst!$R$4:$W$4,0))))</f>
        <v>146.17931245500586</v>
      </c>
      <c r="Q184" s="168">
        <f ca="1">IF($C184-Q$1&lt;År1,0,P183*(1-VLOOKUP($A184,[1]Hugst!$R$5:$W$9,MATCH(ROUNDUP((Q$1)/10,0)*10,[1]Hugst!$R$4:$W$4,0))))</f>
        <v>146.91388186432596</v>
      </c>
      <c r="R184" s="168">
        <f ca="1">IF($C184-R$1&lt;År1,0,Q183*(1-VLOOKUP($A184,[1]Hugst!$R$5:$W$9,MATCH(ROUNDUP((R$1)/10,0)*10,[1]Hugst!$R$4:$W$4,0))))</f>
        <v>147.65214257721527</v>
      </c>
      <c r="S184" s="168">
        <f ca="1">IF($C184-S$1&lt;År1,0,R183*(1-VLOOKUP($A184,[1]Hugst!$R$5:$W$9,MATCH(ROUNDUP((S$1)/10,0)*10,[1]Hugst!$R$4:$W$4,0))))</f>
        <v>148.39411314292738</v>
      </c>
      <c r="T184" s="168">
        <f ca="1">IF($C184-T$1&lt;År1,0,S183*(1-VLOOKUP($A184,[1]Hugst!$R$5:$W$9,MATCH(ROUNDUP((T$1)/10,0)*10,[1]Hugst!$R$4:$W$4,0))))</f>
        <v>149.13981220394635</v>
      </c>
      <c r="U184" s="168">
        <f ca="1">IF($C184-U$1&lt;År1,0,T183*(1-VLOOKUP($A184,[1]Hugst!$R$5:$W$9,MATCH(ROUNDUP((U$1)/10,0)*10,[1]Hugst!$R$4:$W$4,0))))</f>
        <v>149.88925849643056</v>
      </c>
      <c r="V184" s="168">
        <f ca="1">IF($C184-V$1&lt;År1,0,U183*(1-VLOOKUP($A184,[1]Hugst!$R$5:$W$9,MATCH(ROUNDUP((V$1)/10,0)*10,[1]Hugst!$R$4:$W$4,0))))</f>
        <v>150.64247085067836</v>
      </c>
      <c r="W184" s="168">
        <f ca="1">IF($C184-W$1&lt;År1,0,V183*(1-VLOOKUP($A184,[1]Hugst!$R$5:$W$9,MATCH(ROUNDUP((W$1)/10,0)*10,[1]Hugst!$R$4:$W$4,0))))</f>
        <v>151.3994681916447</v>
      </c>
      <c r="X184" s="168">
        <f ca="1">IF($C184-X$1&lt;År1,0,W183*(1-VLOOKUP($A184,[1]Hugst!$R$5:$W$9,MATCH(ROUNDUP((X$1)/10,0)*10,[1]Hugst!$R$4:$W$4,0))))</f>
        <v>152.16026953933761</v>
      </c>
      <c r="Y184" s="168">
        <f ca="1">IF($C184-Y$1&lt;År1,0,X183*(1-VLOOKUP($A184,[1]Hugst!$R$5:$W$9,MATCH(ROUNDUP((Y$1)/10,0)*10,[1]Hugst!$R$4:$W$4,0))))</f>
        <v>152.92489400938575</v>
      </c>
      <c r="Z184" s="168">
        <f ca="1">IF($C184-Z$1&lt;År1,0,Y183*(1-VLOOKUP($A184,[1]Hugst!$R$5:$W$9,MATCH(ROUNDUP((Z$1)/10,0)*10,[1]Hugst!$R$4:$W$4,0))))</f>
        <v>153.69336081344954</v>
      </c>
      <c r="AA184" s="168">
        <f ca="1">IF($C184-AA$1&lt;År1,0,Z183*(1-VLOOKUP($A184,[1]Hugst!$R$5:$W$9,MATCH(ROUNDUP((AA$1)/10,0)*10,[1]Hugst!$R$4:$W$4,0))))</f>
        <v>154.46568925975589</v>
      </c>
      <c r="AB184" s="168">
        <f ca="1">IF($C184-AB$1&lt;År1,0,AA183*(1-VLOOKUP($A184,[1]Hugst!$R$5:$W$9,MATCH(ROUNDUP((AB$1)/10,0)*10,[1]Hugst!$R$4:$W$4,0))))</f>
        <v>155.24189875351658</v>
      </c>
      <c r="AC184" s="168">
        <f ca="1">IF($C184-AC$1&lt;År1,0,AB183*(1-VLOOKUP($A184,[1]Hugst!$R$5:$W$9,MATCH(ROUNDUP((AC$1)/10,0)*10,[1]Hugst!$R$4:$W$4,0))))</f>
        <v>156.02200879750671</v>
      </c>
      <c r="AD184" s="168">
        <f ca="1">IF($C184-AD$1&lt;År1,0,AC183*(1-VLOOKUP($A184,[1]Hugst!$R$5:$W$9,MATCH(ROUNDUP((AD$1)/10,0)*10,[1]Hugst!$R$4:$W$4,0))))</f>
        <v>156.80603899246489</v>
      </c>
      <c r="AE184" s="168">
        <f ca="1">IF($C184-AE$1&lt;År1,0,AD183*(1-VLOOKUP($A184,[1]Hugst!$R$5:$W$9,MATCH(ROUNDUP((AE$1)/10,0)*10,[1]Hugst!$R$4:$W$4,0))))</f>
        <v>157.59400903765709</v>
      </c>
      <c r="AF184" s="168">
        <f ca="1">IF($C184-AF$1&lt;År1,0,AE183*(1-VLOOKUP($A184,[1]Hugst!$R$5:$W$9,MATCH(ROUNDUP((AF$1)/10,0)*10,[1]Hugst!$R$4:$W$4,0))))</f>
        <v>158.38593873131322</v>
      </c>
      <c r="AG184" s="168">
        <f ca="1">IF($C184-AG$1&lt;År1,0,AF183*(1-VLOOKUP($A184,[1]Hugst!$R$5:$W$9,MATCH(ROUNDUP((AG$1)/10,0)*10,[1]Hugst!$R$4:$W$4,0))))</f>
        <v>159.18184797116919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176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138.33746181577226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138.33746181577226</v>
      </c>
      <c r="G185" s="168">
        <f ca="1">IF($C185-G$1&lt;År1,0,F184*(1-VLOOKUP($A185,[1]Hugst!$R$5:$W$9,MATCH(ROUNDUP((G$1)/10,0)*10,[1]Hugst!$R$4:$W$4,0))))</f>
        <v>139.03262494047158</v>
      </c>
      <c r="H185" s="168">
        <f ca="1">IF($C185-H$1&lt;År1,0,G184*(1-VLOOKUP($A185,[1]Hugst!$R$5:$W$9,MATCH(ROUNDUP((H$1)/10,0)*10,[1]Hugst!$R$4:$W$4,0))))</f>
        <v>139.73128134721628</v>
      </c>
      <c r="I185" s="168">
        <f ca="1">IF($C185-I$1&lt;År1,0,H184*(1-VLOOKUP($A185,[1]Hugst!$R$5:$W$9,MATCH(ROUNDUP((I$1)/10,0)*10,[1]Hugst!$R$4:$W$4,0))))</f>
        <v>140.43344859016361</v>
      </c>
      <c r="J185" s="168">
        <f ca="1">IF($C185-J$1&lt;År1,0,I184*(1-VLOOKUP($A185,[1]Hugst!$R$5:$W$9,MATCH(ROUNDUP((J$1)/10,0)*10,[1]Hugst!$R$4:$W$4,0))))</f>
        <v>141.13914431172088</v>
      </c>
      <c r="K185" s="168">
        <f ca="1">IF($C185-K$1&lt;År1,0,J184*(1-VLOOKUP($A185,[1]Hugst!$R$5:$W$9,MATCH(ROUNDUP((K$1)/10,0)*10,[1]Hugst!$R$4:$W$4,0))))</f>
        <v>141.84838624293843</v>
      </c>
      <c r="L185" s="168">
        <f ca="1">IF($C185-L$1&lt;År1,0,K184*(1-VLOOKUP($A185,[1]Hugst!$R$5:$W$9,MATCH(ROUNDUP((L$1)/10,0)*10,[1]Hugst!$R$4:$W$4,0))))</f>
        <v>142.56119220395703</v>
      </c>
      <c r="M185" s="168">
        <f ca="1">IF($C185-M$1&lt;År1,0,L184*(1-VLOOKUP($A185,[1]Hugst!$R$5:$W$9,MATCH(ROUNDUP((M$1)/10,0)*10,[1]Hugst!$R$4:$W$4,0))))</f>
        <v>143.27758010448088</v>
      </c>
      <c r="N185" s="168">
        <f ca="1">IF($C185-N$1&lt;År1,0,M184*(1-VLOOKUP($A185,[1]Hugst!$R$5:$W$9,MATCH(ROUNDUP((N$1)/10,0)*10,[1]Hugst!$R$4:$W$4,0))))</f>
        <v>143.99756794419955</v>
      </c>
      <c r="O185" s="168">
        <f ca="1">IF($C185-O$1&lt;År1,0,N184*(1-VLOOKUP($A185,[1]Hugst!$R$5:$W$9,MATCH(ROUNDUP((O$1)/10,0)*10,[1]Hugst!$R$4:$W$4,0))))</f>
        <v>144.72117381326461</v>
      </c>
      <c r="P185" s="168">
        <f ca="1">IF($C185-P$1&lt;År1,0,O184*(1-VLOOKUP($A185,[1]Hugst!$R$5:$W$9,MATCH(ROUNDUP((P$1)/10,0)*10,[1]Hugst!$R$4:$W$4,0))))</f>
        <v>145.44841589273346</v>
      </c>
      <c r="Q185" s="168">
        <f ca="1">IF($C185-Q$1&lt;År1,0,P184*(1-VLOOKUP($A185,[1]Hugst!$R$5:$W$9,MATCH(ROUNDUP((Q$1)/10,0)*10,[1]Hugst!$R$4:$W$4,0))))</f>
        <v>146.17931245500586</v>
      </c>
      <c r="R185" s="168">
        <f ca="1">IF($C185-R$1&lt;År1,0,Q184*(1-VLOOKUP($A185,[1]Hugst!$R$5:$W$9,MATCH(ROUNDUP((R$1)/10,0)*10,[1]Hugst!$R$4:$W$4,0))))</f>
        <v>146.91388186432596</v>
      </c>
      <c r="S185" s="168">
        <f ca="1">IF($C185-S$1&lt;År1,0,R184*(1-VLOOKUP($A185,[1]Hugst!$R$5:$W$9,MATCH(ROUNDUP((S$1)/10,0)*10,[1]Hugst!$R$4:$W$4,0))))</f>
        <v>147.65214257721527</v>
      </c>
      <c r="T185" s="168">
        <f ca="1">IF($C185-T$1&lt;År1,0,S184*(1-VLOOKUP($A185,[1]Hugst!$R$5:$W$9,MATCH(ROUNDUP((T$1)/10,0)*10,[1]Hugst!$R$4:$W$4,0))))</f>
        <v>148.39411314292738</v>
      </c>
      <c r="U185" s="168">
        <f ca="1">IF($C185-U$1&lt;År1,0,T184*(1-VLOOKUP($A185,[1]Hugst!$R$5:$W$9,MATCH(ROUNDUP((U$1)/10,0)*10,[1]Hugst!$R$4:$W$4,0))))</f>
        <v>149.13981220394635</v>
      </c>
      <c r="V185" s="168">
        <f ca="1">IF($C185-V$1&lt;År1,0,U184*(1-VLOOKUP($A185,[1]Hugst!$R$5:$W$9,MATCH(ROUNDUP((V$1)/10,0)*10,[1]Hugst!$R$4:$W$4,0))))</f>
        <v>149.88925849643056</v>
      </c>
      <c r="W185" s="168">
        <f ca="1">IF($C185-W$1&lt;År1,0,V184*(1-VLOOKUP($A185,[1]Hugst!$R$5:$W$9,MATCH(ROUNDUP((W$1)/10,0)*10,[1]Hugst!$R$4:$W$4,0))))</f>
        <v>150.64247085067836</v>
      </c>
      <c r="X185" s="168">
        <f ca="1">IF($C185-X$1&lt;År1,0,W184*(1-VLOOKUP($A185,[1]Hugst!$R$5:$W$9,MATCH(ROUNDUP((X$1)/10,0)*10,[1]Hugst!$R$4:$W$4,0))))</f>
        <v>151.3994681916447</v>
      </c>
      <c r="Y185" s="168">
        <f ca="1">IF($C185-Y$1&lt;År1,0,X184*(1-VLOOKUP($A185,[1]Hugst!$R$5:$W$9,MATCH(ROUNDUP((Y$1)/10,0)*10,[1]Hugst!$R$4:$W$4,0))))</f>
        <v>152.16026953933761</v>
      </c>
      <c r="Z185" s="168">
        <f ca="1">IF($C185-Z$1&lt;År1,0,Y184*(1-VLOOKUP($A185,[1]Hugst!$R$5:$W$9,MATCH(ROUNDUP((Z$1)/10,0)*10,[1]Hugst!$R$4:$W$4,0))))</f>
        <v>152.92489400938575</v>
      </c>
      <c r="AA185" s="168">
        <f ca="1">IF($C185-AA$1&lt;År1,0,Z184*(1-VLOOKUP($A185,[1]Hugst!$R$5:$W$9,MATCH(ROUNDUP((AA$1)/10,0)*10,[1]Hugst!$R$4:$W$4,0))))</f>
        <v>153.69336081344954</v>
      </c>
      <c r="AB185" s="168">
        <f ca="1">IF($C185-AB$1&lt;År1,0,AA184*(1-VLOOKUP($A185,[1]Hugst!$R$5:$W$9,MATCH(ROUNDUP((AB$1)/10,0)*10,[1]Hugst!$R$4:$W$4,0))))</f>
        <v>154.46568925975589</v>
      </c>
      <c r="AC185" s="168">
        <f ca="1">IF($C185-AC$1&lt;År1,0,AB184*(1-VLOOKUP($A185,[1]Hugst!$R$5:$W$9,MATCH(ROUNDUP((AC$1)/10,0)*10,[1]Hugst!$R$4:$W$4,0))))</f>
        <v>155.24189875351658</v>
      </c>
      <c r="AD185" s="168">
        <f ca="1">IF($C185-AD$1&lt;År1,0,AC184*(1-VLOOKUP($A185,[1]Hugst!$R$5:$W$9,MATCH(ROUNDUP((AD$1)/10,0)*10,[1]Hugst!$R$4:$W$4,0))))</f>
        <v>156.02200879750671</v>
      </c>
      <c r="AE185" s="168">
        <f ca="1">IF($C185-AE$1&lt;År1,0,AD184*(1-VLOOKUP($A185,[1]Hugst!$R$5:$W$9,MATCH(ROUNDUP((AE$1)/10,0)*10,[1]Hugst!$R$4:$W$4,0))))</f>
        <v>156.80603899246489</v>
      </c>
      <c r="AF185" s="168">
        <f ca="1">IF($C185-AF$1&lt;År1,0,AE184*(1-VLOOKUP($A185,[1]Hugst!$R$5:$W$9,MATCH(ROUNDUP((AF$1)/10,0)*10,[1]Hugst!$R$4:$W$4,0))))</f>
        <v>157.59400903765709</v>
      </c>
      <c r="AG185" s="168">
        <f ca="1">IF($C185-AG$1&lt;År1,0,AF184*(1-VLOOKUP($A185,[1]Hugst!$R$5:$W$9,MATCH(ROUNDUP((AG$1)/10,0)*10,[1]Hugst!$R$4:$W$4,0))))</f>
        <v>158.38593873131322</v>
      </c>
      <c r="AH185" s="168">
        <f ca="1">IF($C185-AH$1&lt;År1,0,AG184*(1-VLOOKUP($A185,[1]Hugst!$R$5:$W$9,MATCH(ROUNDUP((AH$1)/10,0)*10,[1]Hugst!$R$4:$W$4,0))))</f>
        <v>159.18184797116919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176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137.64577450669822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137.64577450669822</v>
      </c>
      <c r="G186" s="168">
        <f ca="1">IF($C186-G$1&lt;År1,0,F185*(1-VLOOKUP($A186,[1]Hugst!$R$5:$W$9,MATCH(ROUNDUP((G$1)/10,0)*10,[1]Hugst!$R$4:$W$4,0))))</f>
        <v>138.33746181577226</v>
      </c>
      <c r="H186" s="168">
        <f ca="1">IF($C186-H$1&lt;År1,0,G185*(1-VLOOKUP($A186,[1]Hugst!$R$5:$W$9,MATCH(ROUNDUP((H$1)/10,0)*10,[1]Hugst!$R$4:$W$4,0))))</f>
        <v>139.03262494047158</v>
      </c>
      <c r="I186" s="168">
        <f ca="1">IF($C186-I$1&lt;År1,0,H185*(1-VLOOKUP($A186,[1]Hugst!$R$5:$W$9,MATCH(ROUNDUP((I$1)/10,0)*10,[1]Hugst!$R$4:$W$4,0))))</f>
        <v>139.73128134721628</v>
      </c>
      <c r="J186" s="168">
        <f ca="1">IF($C186-J$1&lt;År1,0,I185*(1-VLOOKUP($A186,[1]Hugst!$R$5:$W$9,MATCH(ROUNDUP((J$1)/10,0)*10,[1]Hugst!$R$4:$W$4,0))))</f>
        <v>140.43344859016361</v>
      </c>
      <c r="K186" s="168">
        <f ca="1">IF($C186-K$1&lt;År1,0,J185*(1-VLOOKUP($A186,[1]Hugst!$R$5:$W$9,MATCH(ROUNDUP((K$1)/10,0)*10,[1]Hugst!$R$4:$W$4,0))))</f>
        <v>141.13914431172088</v>
      </c>
      <c r="L186" s="168">
        <f ca="1">IF($C186-L$1&lt;År1,0,K185*(1-VLOOKUP($A186,[1]Hugst!$R$5:$W$9,MATCH(ROUNDUP((L$1)/10,0)*10,[1]Hugst!$R$4:$W$4,0))))</f>
        <v>141.84838624293843</v>
      </c>
      <c r="M186" s="168">
        <f ca="1">IF($C186-M$1&lt;År1,0,L185*(1-VLOOKUP($A186,[1]Hugst!$R$5:$W$9,MATCH(ROUNDUP((M$1)/10,0)*10,[1]Hugst!$R$4:$W$4,0))))</f>
        <v>142.56119220395703</v>
      </c>
      <c r="N186" s="168">
        <f ca="1">IF($C186-N$1&lt;År1,0,M185*(1-VLOOKUP($A186,[1]Hugst!$R$5:$W$9,MATCH(ROUNDUP((N$1)/10,0)*10,[1]Hugst!$R$4:$W$4,0))))</f>
        <v>143.27758010448088</v>
      </c>
      <c r="O186" s="168">
        <f ca="1">IF($C186-O$1&lt;År1,0,N185*(1-VLOOKUP($A186,[1]Hugst!$R$5:$W$9,MATCH(ROUNDUP((O$1)/10,0)*10,[1]Hugst!$R$4:$W$4,0))))</f>
        <v>143.99756794419955</v>
      </c>
      <c r="P186" s="168">
        <f ca="1">IF($C186-P$1&lt;År1,0,O185*(1-VLOOKUP($A186,[1]Hugst!$R$5:$W$9,MATCH(ROUNDUP((P$1)/10,0)*10,[1]Hugst!$R$4:$W$4,0))))</f>
        <v>144.72117381326461</v>
      </c>
      <c r="Q186" s="168">
        <f ca="1">IF($C186-Q$1&lt;År1,0,P185*(1-VLOOKUP($A186,[1]Hugst!$R$5:$W$9,MATCH(ROUNDUP((Q$1)/10,0)*10,[1]Hugst!$R$4:$W$4,0))))</f>
        <v>145.44841589273346</v>
      </c>
      <c r="R186" s="168">
        <f ca="1">IF($C186-R$1&lt;År1,0,Q185*(1-VLOOKUP($A186,[1]Hugst!$R$5:$W$9,MATCH(ROUNDUP((R$1)/10,0)*10,[1]Hugst!$R$4:$W$4,0))))</f>
        <v>146.17931245500586</v>
      </c>
      <c r="S186" s="168">
        <f ca="1">IF($C186-S$1&lt;År1,0,R185*(1-VLOOKUP($A186,[1]Hugst!$R$5:$W$9,MATCH(ROUNDUP((S$1)/10,0)*10,[1]Hugst!$R$4:$W$4,0))))</f>
        <v>146.91388186432596</v>
      </c>
      <c r="T186" s="168">
        <f ca="1">IF($C186-T$1&lt;År1,0,S185*(1-VLOOKUP($A186,[1]Hugst!$R$5:$W$9,MATCH(ROUNDUP((T$1)/10,0)*10,[1]Hugst!$R$4:$W$4,0))))</f>
        <v>147.65214257721527</v>
      </c>
      <c r="U186" s="168">
        <f ca="1">IF($C186-U$1&lt;År1,0,T185*(1-VLOOKUP($A186,[1]Hugst!$R$5:$W$9,MATCH(ROUNDUP((U$1)/10,0)*10,[1]Hugst!$R$4:$W$4,0))))</f>
        <v>148.39411314292738</v>
      </c>
      <c r="V186" s="168">
        <f ca="1">IF($C186-V$1&lt;År1,0,U185*(1-VLOOKUP($A186,[1]Hugst!$R$5:$W$9,MATCH(ROUNDUP((V$1)/10,0)*10,[1]Hugst!$R$4:$W$4,0))))</f>
        <v>149.13981220394635</v>
      </c>
      <c r="W186" s="168">
        <f ca="1">IF($C186-W$1&lt;År1,0,V185*(1-VLOOKUP($A186,[1]Hugst!$R$5:$W$9,MATCH(ROUNDUP((W$1)/10,0)*10,[1]Hugst!$R$4:$W$4,0))))</f>
        <v>149.88925849643056</v>
      </c>
      <c r="X186" s="168">
        <f ca="1">IF($C186-X$1&lt;År1,0,W185*(1-VLOOKUP($A186,[1]Hugst!$R$5:$W$9,MATCH(ROUNDUP((X$1)/10,0)*10,[1]Hugst!$R$4:$W$4,0))))</f>
        <v>150.64247085067836</v>
      </c>
      <c r="Y186" s="168">
        <f ca="1">IF($C186-Y$1&lt;År1,0,X185*(1-VLOOKUP($A186,[1]Hugst!$R$5:$W$9,MATCH(ROUNDUP((Y$1)/10,0)*10,[1]Hugst!$R$4:$W$4,0))))</f>
        <v>151.3994681916447</v>
      </c>
      <c r="Z186" s="168">
        <f ca="1">IF($C186-Z$1&lt;År1,0,Y185*(1-VLOOKUP($A186,[1]Hugst!$R$5:$W$9,MATCH(ROUNDUP((Z$1)/10,0)*10,[1]Hugst!$R$4:$W$4,0))))</f>
        <v>152.16026953933761</v>
      </c>
      <c r="AA186" s="168">
        <f ca="1">IF($C186-AA$1&lt;År1,0,Z185*(1-VLOOKUP($A186,[1]Hugst!$R$5:$W$9,MATCH(ROUNDUP((AA$1)/10,0)*10,[1]Hugst!$R$4:$W$4,0))))</f>
        <v>152.92489400938575</v>
      </c>
      <c r="AB186" s="168">
        <f ca="1">IF($C186-AB$1&lt;År1,0,AA185*(1-VLOOKUP($A186,[1]Hugst!$R$5:$W$9,MATCH(ROUNDUP((AB$1)/10,0)*10,[1]Hugst!$R$4:$W$4,0))))</f>
        <v>153.69336081344954</v>
      </c>
      <c r="AC186" s="168">
        <f ca="1">IF($C186-AC$1&lt;År1,0,AB185*(1-VLOOKUP($A186,[1]Hugst!$R$5:$W$9,MATCH(ROUNDUP((AC$1)/10,0)*10,[1]Hugst!$R$4:$W$4,0))))</f>
        <v>154.46568925975589</v>
      </c>
      <c r="AD186" s="168">
        <f ca="1">IF($C186-AD$1&lt;År1,0,AC185*(1-VLOOKUP($A186,[1]Hugst!$R$5:$W$9,MATCH(ROUNDUP((AD$1)/10,0)*10,[1]Hugst!$R$4:$W$4,0))))</f>
        <v>155.24189875351658</v>
      </c>
      <c r="AE186" s="168">
        <f ca="1">IF($C186-AE$1&lt;År1,0,AD185*(1-VLOOKUP($A186,[1]Hugst!$R$5:$W$9,MATCH(ROUNDUP((AE$1)/10,0)*10,[1]Hugst!$R$4:$W$4,0))))</f>
        <v>156.02200879750671</v>
      </c>
      <c r="AF186" s="168">
        <f ca="1">IF($C186-AF$1&lt;År1,0,AE185*(1-VLOOKUP($A186,[1]Hugst!$R$5:$W$9,MATCH(ROUNDUP((AF$1)/10,0)*10,[1]Hugst!$R$4:$W$4,0))))</f>
        <v>156.80603899246489</v>
      </c>
      <c r="AG186" s="168">
        <f ca="1">IF($C186-AG$1&lt;År1,0,AF185*(1-VLOOKUP($A186,[1]Hugst!$R$5:$W$9,MATCH(ROUNDUP((AG$1)/10,0)*10,[1]Hugst!$R$4:$W$4,0))))</f>
        <v>157.59400903765709</v>
      </c>
      <c r="AH186" s="168">
        <f ca="1">IF($C186-AH$1&lt;År1,0,AG185*(1-VLOOKUP($A186,[1]Hugst!$R$5:$W$9,MATCH(ROUNDUP((AH$1)/10,0)*10,[1]Hugst!$R$4:$W$4,0))))</f>
        <v>158.38593873131322</v>
      </c>
      <c r="AI186" s="168">
        <f ca="1">IF($C186-AI$1&lt;År1,0,AH185*(1-VLOOKUP($A186,[1]Hugst!$R$5:$W$9,MATCH(ROUNDUP((AI$1)/10,0)*10,[1]Hugst!$R$4:$W$4,0))))</f>
        <v>159.18184797116919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176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136.95754563416267</v>
      </c>
      <c r="E187" s="168">
        <f t="shared" ca="1" si="3"/>
        <v>0.28942154176547774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137.24696717592815</v>
      </c>
      <c r="G187" s="168">
        <f ca="1">IF($C187-G$1&lt;År1,0,F186*(1-VLOOKUP($A187,[1]Hugst!$R$5:$W$9,MATCH(ROUNDUP((G$1)/10,0)*10,[1]Hugst!$R$4:$W$4,0))))</f>
        <v>137.64577450669822</v>
      </c>
      <c r="H187" s="168">
        <f ca="1">IF($C187-H$1&lt;År1,0,G186*(1-VLOOKUP($A187,[1]Hugst!$R$5:$W$9,MATCH(ROUNDUP((H$1)/10,0)*10,[1]Hugst!$R$4:$W$4,0))))</f>
        <v>138.33746181577226</v>
      </c>
      <c r="I187" s="168">
        <f ca="1">IF($C187-I$1&lt;År1,0,H186*(1-VLOOKUP($A187,[1]Hugst!$R$5:$W$9,MATCH(ROUNDUP((I$1)/10,0)*10,[1]Hugst!$R$4:$W$4,0))))</f>
        <v>139.03262494047158</v>
      </c>
      <c r="J187" s="168">
        <f ca="1">IF($C187-J$1&lt;År1,0,I186*(1-VLOOKUP($A187,[1]Hugst!$R$5:$W$9,MATCH(ROUNDUP((J$1)/10,0)*10,[1]Hugst!$R$4:$W$4,0))))</f>
        <v>139.73128134721628</v>
      </c>
      <c r="K187" s="168">
        <f ca="1">IF($C187-K$1&lt;År1,0,J186*(1-VLOOKUP($A187,[1]Hugst!$R$5:$W$9,MATCH(ROUNDUP((K$1)/10,0)*10,[1]Hugst!$R$4:$W$4,0))))</f>
        <v>140.43344859016361</v>
      </c>
      <c r="L187" s="168">
        <f ca="1">IF($C187-L$1&lt;År1,0,K186*(1-VLOOKUP($A187,[1]Hugst!$R$5:$W$9,MATCH(ROUNDUP((L$1)/10,0)*10,[1]Hugst!$R$4:$W$4,0))))</f>
        <v>141.13914431172088</v>
      </c>
      <c r="M187" s="168">
        <f ca="1">IF($C187-M$1&lt;År1,0,L186*(1-VLOOKUP($A187,[1]Hugst!$R$5:$W$9,MATCH(ROUNDUP((M$1)/10,0)*10,[1]Hugst!$R$4:$W$4,0))))</f>
        <v>141.84838624293843</v>
      </c>
      <c r="N187" s="168">
        <f ca="1">IF($C187-N$1&lt;År1,0,M186*(1-VLOOKUP($A187,[1]Hugst!$R$5:$W$9,MATCH(ROUNDUP((N$1)/10,0)*10,[1]Hugst!$R$4:$W$4,0))))</f>
        <v>142.56119220395703</v>
      </c>
      <c r="O187" s="168">
        <f ca="1">IF($C187-O$1&lt;År1,0,N186*(1-VLOOKUP($A187,[1]Hugst!$R$5:$W$9,MATCH(ROUNDUP((O$1)/10,0)*10,[1]Hugst!$R$4:$W$4,0))))</f>
        <v>143.27758010448088</v>
      </c>
      <c r="P187" s="168">
        <f ca="1">IF($C187-P$1&lt;År1,0,O186*(1-VLOOKUP($A187,[1]Hugst!$R$5:$W$9,MATCH(ROUNDUP((P$1)/10,0)*10,[1]Hugst!$R$4:$W$4,0))))</f>
        <v>143.99756794419955</v>
      </c>
      <c r="Q187" s="168">
        <f ca="1">IF($C187-Q$1&lt;År1,0,P186*(1-VLOOKUP($A187,[1]Hugst!$R$5:$W$9,MATCH(ROUNDUP((Q$1)/10,0)*10,[1]Hugst!$R$4:$W$4,0))))</f>
        <v>144.72117381326461</v>
      </c>
      <c r="R187" s="168">
        <f ca="1">IF($C187-R$1&lt;År1,0,Q186*(1-VLOOKUP($A187,[1]Hugst!$R$5:$W$9,MATCH(ROUNDUP((R$1)/10,0)*10,[1]Hugst!$R$4:$W$4,0))))</f>
        <v>145.44841589273346</v>
      </c>
      <c r="S187" s="168">
        <f ca="1">IF($C187-S$1&lt;År1,0,R186*(1-VLOOKUP($A187,[1]Hugst!$R$5:$W$9,MATCH(ROUNDUP((S$1)/10,0)*10,[1]Hugst!$R$4:$W$4,0))))</f>
        <v>146.17931245500586</v>
      </c>
      <c r="T187" s="168">
        <f ca="1">IF($C187-T$1&lt;År1,0,S186*(1-VLOOKUP($A187,[1]Hugst!$R$5:$W$9,MATCH(ROUNDUP((T$1)/10,0)*10,[1]Hugst!$R$4:$W$4,0))))</f>
        <v>146.91388186432596</v>
      </c>
      <c r="U187" s="168">
        <f ca="1">IF($C187-U$1&lt;År1,0,T186*(1-VLOOKUP($A187,[1]Hugst!$R$5:$W$9,MATCH(ROUNDUP((U$1)/10,0)*10,[1]Hugst!$R$4:$W$4,0))))</f>
        <v>147.65214257721527</v>
      </c>
      <c r="V187" s="168">
        <f ca="1">IF($C187-V$1&lt;År1,0,U186*(1-VLOOKUP($A187,[1]Hugst!$R$5:$W$9,MATCH(ROUNDUP((V$1)/10,0)*10,[1]Hugst!$R$4:$W$4,0))))</f>
        <v>148.39411314292738</v>
      </c>
      <c r="W187" s="168">
        <f ca="1">IF($C187-W$1&lt;År1,0,V186*(1-VLOOKUP($A187,[1]Hugst!$R$5:$W$9,MATCH(ROUNDUP((W$1)/10,0)*10,[1]Hugst!$R$4:$W$4,0))))</f>
        <v>149.13981220394635</v>
      </c>
      <c r="X187" s="168">
        <f ca="1">IF($C187-X$1&lt;År1,0,W186*(1-VLOOKUP($A187,[1]Hugst!$R$5:$W$9,MATCH(ROUNDUP((X$1)/10,0)*10,[1]Hugst!$R$4:$W$4,0))))</f>
        <v>149.88925849643056</v>
      </c>
      <c r="Y187" s="168">
        <f ca="1">IF($C187-Y$1&lt;År1,0,X186*(1-VLOOKUP($A187,[1]Hugst!$R$5:$W$9,MATCH(ROUNDUP((Y$1)/10,0)*10,[1]Hugst!$R$4:$W$4,0))))</f>
        <v>150.64247085067836</v>
      </c>
      <c r="Z187" s="168">
        <f ca="1">IF($C187-Z$1&lt;År1,0,Y186*(1-VLOOKUP($A187,[1]Hugst!$R$5:$W$9,MATCH(ROUNDUP((Z$1)/10,0)*10,[1]Hugst!$R$4:$W$4,0))))</f>
        <v>151.3994681916447</v>
      </c>
      <c r="AA187" s="168">
        <f ca="1">IF($C187-AA$1&lt;År1,0,Z186*(1-VLOOKUP($A187,[1]Hugst!$R$5:$W$9,MATCH(ROUNDUP((AA$1)/10,0)*10,[1]Hugst!$R$4:$W$4,0))))</f>
        <v>152.16026953933761</v>
      </c>
      <c r="AB187" s="168">
        <f ca="1">IF($C187-AB$1&lt;År1,0,AA186*(1-VLOOKUP($A187,[1]Hugst!$R$5:$W$9,MATCH(ROUNDUP((AB$1)/10,0)*10,[1]Hugst!$R$4:$W$4,0))))</f>
        <v>152.92489400938575</v>
      </c>
      <c r="AC187" s="168">
        <f ca="1">IF($C187-AC$1&lt;År1,0,AB186*(1-VLOOKUP($A187,[1]Hugst!$R$5:$W$9,MATCH(ROUNDUP((AC$1)/10,0)*10,[1]Hugst!$R$4:$W$4,0))))</f>
        <v>153.69336081344954</v>
      </c>
      <c r="AD187" s="168">
        <f ca="1">IF($C187-AD$1&lt;År1,0,AC186*(1-VLOOKUP($A187,[1]Hugst!$R$5:$W$9,MATCH(ROUNDUP((AD$1)/10,0)*10,[1]Hugst!$R$4:$W$4,0))))</f>
        <v>154.46568925975589</v>
      </c>
      <c r="AE187" s="168">
        <f ca="1">IF($C187-AE$1&lt;År1,0,AD186*(1-VLOOKUP($A187,[1]Hugst!$R$5:$W$9,MATCH(ROUNDUP((AE$1)/10,0)*10,[1]Hugst!$R$4:$W$4,0))))</f>
        <v>155.24189875351658</v>
      </c>
      <c r="AF187" s="168">
        <f ca="1">IF($C187-AF$1&lt;År1,0,AE186*(1-VLOOKUP($A187,[1]Hugst!$R$5:$W$9,MATCH(ROUNDUP((AF$1)/10,0)*10,[1]Hugst!$R$4:$W$4,0))))</f>
        <v>156.02200879750671</v>
      </c>
      <c r="AG187" s="168">
        <f ca="1">IF($C187-AG$1&lt;År1,0,AF186*(1-VLOOKUP($A187,[1]Hugst!$R$5:$W$9,MATCH(ROUNDUP((AG$1)/10,0)*10,[1]Hugst!$R$4:$W$4,0))))</f>
        <v>156.80603899246489</v>
      </c>
      <c r="AH187" s="168">
        <f ca="1">IF($C187-AH$1&lt;År1,0,AG186*(1-VLOOKUP($A187,[1]Hugst!$R$5:$W$9,MATCH(ROUNDUP((AH$1)/10,0)*10,[1]Hugst!$R$4:$W$4,0))))</f>
        <v>157.59400903765709</v>
      </c>
      <c r="AI187" s="168">
        <f ca="1">IF($C187-AI$1&lt;År1,0,AH186*(1-VLOOKUP($A187,[1]Hugst!$R$5:$W$9,MATCH(ROUNDUP((AI$1)/10,0)*10,[1]Hugst!$R$4:$W$4,0))))</f>
        <v>158.38593873131322</v>
      </c>
      <c r="AJ187" s="168">
        <f ca="1">IF($C187-AJ$1&lt;År1,0,AI186*(1-VLOOKUP($A187,[1]Hugst!$R$5:$W$9,MATCH(ROUNDUP((AJ$1)/10,0)*10,[1]Hugst!$R$4:$W$4,0))))</f>
        <v>158.89242642940343</v>
      </c>
    </row>
    <row r="188" spans="1:36" x14ac:dyDescent="0.25">
      <c r="A188" s="168" t="s">
        <v>177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543.83065202883154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543.83065202883154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177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541.11149876867421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541.11149876867421</v>
      </c>
      <c r="G189" s="168">
        <f ca="1">IF($C189-G$1&lt;År1,0,F188*(1-VLOOKUP($A189,[1]Hugst!$R$5:$W$9,MATCH(ROUNDUP((G$1)/10,0)*10,[1]Hugst!$R$4:$W$4,0))))</f>
        <v>543.83065202883154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177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538.40594127484655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538.40594127484655</v>
      </c>
      <c r="G190" s="168">
        <f ca="1">IF($C190-G$1&lt;År1,0,F189*(1-VLOOKUP($A190,[1]Hugst!$R$5:$W$9,MATCH(ROUNDUP((G$1)/10,0)*10,[1]Hugst!$R$4:$W$4,0))))</f>
        <v>541.11149876867421</v>
      </c>
      <c r="H190" s="168">
        <f ca="1">IF($C190-H$1&lt;År1,0,G189*(1-VLOOKUP($A190,[1]Hugst!$R$5:$W$9,MATCH(ROUNDUP((H$1)/10,0)*10,[1]Hugst!$R$4:$W$4,0))))</f>
        <v>543.83065202883154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177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535.71391156846948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535.71391156846948</v>
      </c>
      <c r="G191" s="168">
        <f ca="1">IF($C191-G$1&lt;År1,0,F190*(1-VLOOKUP($A191,[1]Hugst!$R$5:$W$9,MATCH(ROUNDUP((G$1)/10,0)*10,[1]Hugst!$R$4:$W$4,0))))</f>
        <v>538.40594127484655</v>
      </c>
      <c r="H191" s="168">
        <f ca="1">IF($C191-H$1&lt;År1,0,G190*(1-VLOOKUP($A191,[1]Hugst!$R$5:$W$9,MATCH(ROUNDUP((H$1)/10,0)*10,[1]Hugst!$R$4:$W$4,0))))</f>
        <v>541.11149876867421</v>
      </c>
      <c r="I191" s="168">
        <f ca="1">IF($C191-I$1&lt;År1,0,H190*(1-VLOOKUP($A191,[1]Hugst!$R$5:$W$9,MATCH(ROUNDUP((I$1)/10,0)*10,[1]Hugst!$R$4:$W$4,0))))</f>
        <v>543.83065202883154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177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533.03534201062575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533.03534201062575</v>
      </c>
      <c r="G192" s="168">
        <f ca="1">IF($C192-G$1&lt;År1,0,F191*(1-VLOOKUP($A192,[1]Hugst!$R$5:$W$9,MATCH(ROUNDUP((G$1)/10,0)*10,[1]Hugst!$R$4:$W$4,0))))</f>
        <v>535.71391156846948</v>
      </c>
      <c r="H192" s="168">
        <f ca="1">IF($C192-H$1&lt;År1,0,G191*(1-VLOOKUP($A192,[1]Hugst!$R$5:$W$9,MATCH(ROUNDUP((H$1)/10,0)*10,[1]Hugst!$R$4:$W$4,0))))</f>
        <v>538.40594127484655</v>
      </c>
      <c r="I192" s="168">
        <f ca="1">IF($C192-I$1&lt;År1,0,H191*(1-VLOOKUP($A192,[1]Hugst!$R$5:$W$9,MATCH(ROUNDUP((I$1)/10,0)*10,[1]Hugst!$R$4:$W$4,0))))</f>
        <v>541.11149876867421</v>
      </c>
      <c r="J192" s="168">
        <f ca="1">IF($C192-J$1&lt;År1,0,I191*(1-VLOOKUP($A192,[1]Hugst!$R$5:$W$9,MATCH(ROUNDUP((J$1)/10,0)*10,[1]Hugst!$R$4:$W$4,0))))</f>
        <v>543.83065202883154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177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530.37016530057008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530.37016530057008</v>
      </c>
      <c r="G193" s="168">
        <f ca="1">IF($C193-G$1&lt;År1,0,F192*(1-VLOOKUP($A193,[1]Hugst!$R$5:$W$9,MATCH(ROUNDUP((G$1)/10,0)*10,[1]Hugst!$R$4:$W$4,0))))</f>
        <v>533.03534201062575</v>
      </c>
      <c r="H193" s="168">
        <f ca="1">IF($C193-H$1&lt;År1,0,G192*(1-VLOOKUP($A193,[1]Hugst!$R$5:$W$9,MATCH(ROUNDUP((H$1)/10,0)*10,[1]Hugst!$R$4:$W$4,0))))</f>
        <v>535.71391156846948</v>
      </c>
      <c r="I193" s="168">
        <f ca="1">IF($C193-I$1&lt;År1,0,H192*(1-VLOOKUP($A193,[1]Hugst!$R$5:$W$9,MATCH(ROUNDUP((I$1)/10,0)*10,[1]Hugst!$R$4:$W$4,0))))</f>
        <v>538.40594127484655</v>
      </c>
      <c r="J193" s="168">
        <f ca="1">IF($C193-J$1&lt;År1,0,I192*(1-VLOOKUP($A193,[1]Hugst!$R$5:$W$9,MATCH(ROUNDUP((J$1)/10,0)*10,[1]Hugst!$R$4:$W$4,0))))</f>
        <v>541.11149876867421</v>
      </c>
      <c r="K193" s="168">
        <f ca="1">IF($C193-K$1&lt;År1,0,J192*(1-VLOOKUP($A193,[1]Hugst!$R$5:$W$9,MATCH(ROUNDUP((K$1)/10,0)*10,[1]Hugst!$R$4:$W$4,0))))</f>
        <v>543.83065202883154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177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527.71831447407021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527.71831447407021</v>
      </c>
      <c r="G194" s="168">
        <f ca="1">IF($C194-G$1&lt;År1,0,F193*(1-VLOOKUP($A194,[1]Hugst!$R$5:$W$9,MATCH(ROUNDUP((G$1)/10,0)*10,[1]Hugst!$R$4:$W$4,0))))</f>
        <v>530.37016530057008</v>
      </c>
      <c r="H194" s="168">
        <f ca="1">IF($C194-H$1&lt;År1,0,G193*(1-VLOOKUP($A194,[1]Hugst!$R$5:$W$9,MATCH(ROUNDUP((H$1)/10,0)*10,[1]Hugst!$R$4:$W$4,0))))</f>
        <v>533.03534201062575</v>
      </c>
      <c r="I194" s="168">
        <f ca="1">IF($C194-I$1&lt;År1,0,H193*(1-VLOOKUP($A194,[1]Hugst!$R$5:$W$9,MATCH(ROUNDUP((I$1)/10,0)*10,[1]Hugst!$R$4:$W$4,0))))</f>
        <v>535.71391156846948</v>
      </c>
      <c r="J194" s="168">
        <f ca="1">IF($C194-J$1&lt;År1,0,I193*(1-VLOOKUP($A194,[1]Hugst!$R$5:$W$9,MATCH(ROUNDUP((J$1)/10,0)*10,[1]Hugst!$R$4:$W$4,0))))</f>
        <v>538.40594127484655</v>
      </c>
      <c r="K194" s="168">
        <f ca="1">IF($C194-K$1&lt;År1,0,J193*(1-VLOOKUP($A194,[1]Hugst!$R$5:$W$9,MATCH(ROUNDUP((K$1)/10,0)*10,[1]Hugst!$R$4:$W$4,0))))</f>
        <v>541.11149876867421</v>
      </c>
      <c r="L194" s="168">
        <f ca="1">IF($C194-L$1&lt;År1,0,K193*(1-VLOOKUP($A194,[1]Hugst!$R$5:$W$9,MATCH(ROUNDUP((L$1)/10,0)*10,[1]Hugst!$R$4:$W$4,0))))</f>
        <v>543.83065202883154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177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525.07972290170437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525.07972290170437</v>
      </c>
      <c r="G195" s="168">
        <f ca="1">IF($C195-G$1&lt;År1,0,F194*(1-VLOOKUP($A195,[1]Hugst!$R$5:$W$9,MATCH(ROUNDUP((G$1)/10,0)*10,[1]Hugst!$R$4:$W$4,0))))</f>
        <v>527.71831447407021</v>
      </c>
      <c r="H195" s="168">
        <f ca="1">IF($C195-H$1&lt;År1,0,G194*(1-VLOOKUP($A195,[1]Hugst!$R$5:$W$9,MATCH(ROUNDUP((H$1)/10,0)*10,[1]Hugst!$R$4:$W$4,0))))</f>
        <v>530.37016530057008</v>
      </c>
      <c r="I195" s="168">
        <f ca="1">IF($C195-I$1&lt;År1,0,H194*(1-VLOOKUP($A195,[1]Hugst!$R$5:$W$9,MATCH(ROUNDUP((I$1)/10,0)*10,[1]Hugst!$R$4:$W$4,0))))</f>
        <v>533.03534201062575</v>
      </c>
      <c r="J195" s="168">
        <f ca="1">IF($C195-J$1&lt;År1,0,I194*(1-VLOOKUP($A195,[1]Hugst!$R$5:$W$9,MATCH(ROUNDUP((J$1)/10,0)*10,[1]Hugst!$R$4:$W$4,0))))</f>
        <v>535.71391156846948</v>
      </c>
      <c r="K195" s="168">
        <f ca="1">IF($C195-K$1&lt;År1,0,J194*(1-VLOOKUP($A195,[1]Hugst!$R$5:$W$9,MATCH(ROUNDUP((K$1)/10,0)*10,[1]Hugst!$R$4:$W$4,0))))</f>
        <v>538.40594127484655</v>
      </c>
      <c r="L195" s="168">
        <f ca="1">IF($C195-L$1&lt;År1,0,K194*(1-VLOOKUP($A195,[1]Hugst!$R$5:$W$9,MATCH(ROUNDUP((L$1)/10,0)*10,[1]Hugst!$R$4:$W$4,0))))</f>
        <v>541.11149876867421</v>
      </c>
      <c r="M195" s="168">
        <f ca="1">IF($C195-M$1&lt;År1,0,L194*(1-VLOOKUP($A195,[1]Hugst!$R$5:$W$9,MATCH(ROUNDUP((M$1)/10,0)*10,[1]Hugst!$R$4:$W$4,0))))</f>
        <v>543.83065202883154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177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522.45432428720233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522.45432428720233</v>
      </c>
      <c r="G196" s="168">
        <f ca="1">IF($C196-G$1&lt;År1,0,F195*(1-VLOOKUP($A196,[1]Hugst!$R$5:$W$9,MATCH(ROUNDUP((G$1)/10,0)*10,[1]Hugst!$R$4:$W$4,0))))</f>
        <v>525.07972290170437</v>
      </c>
      <c r="H196" s="168">
        <f ca="1">IF($C196-H$1&lt;År1,0,G195*(1-VLOOKUP($A196,[1]Hugst!$R$5:$W$9,MATCH(ROUNDUP((H$1)/10,0)*10,[1]Hugst!$R$4:$W$4,0))))</f>
        <v>527.71831447407021</v>
      </c>
      <c r="I196" s="168">
        <f ca="1">IF($C196-I$1&lt;År1,0,H195*(1-VLOOKUP($A196,[1]Hugst!$R$5:$W$9,MATCH(ROUNDUP((I$1)/10,0)*10,[1]Hugst!$R$4:$W$4,0))))</f>
        <v>530.37016530057008</v>
      </c>
      <c r="J196" s="168">
        <f ca="1">IF($C196-J$1&lt;År1,0,I195*(1-VLOOKUP($A196,[1]Hugst!$R$5:$W$9,MATCH(ROUNDUP((J$1)/10,0)*10,[1]Hugst!$R$4:$W$4,0))))</f>
        <v>533.03534201062575</v>
      </c>
      <c r="K196" s="168">
        <f ca="1">IF($C196-K$1&lt;År1,0,J195*(1-VLOOKUP($A196,[1]Hugst!$R$5:$W$9,MATCH(ROUNDUP((K$1)/10,0)*10,[1]Hugst!$R$4:$W$4,0))))</f>
        <v>535.71391156846948</v>
      </c>
      <c r="L196" s="168">
        <f ca="1">IF($C196-L$1&lt;År1,0,K195*(1-VLOOKUP($A196,[1]Hugst!$R$5:$W$9,MATCH(ROUNDUP((L$1)/10,0)*10,[1]Hugst!$R$4:$W$4,0))))</f>
        <v>538.40594127484655</v>
      </c>
      <c r="M196" s="168">
        <f ca="1">IF($C196-M$1&lt;År1,0,L195*(1-VLOOKUP($A196,[1]Hugst!$R$5:$W$9,MATCH(ROUNDUP((M$1)/10,0)*10,[1]Hugst!$R$4:$W$4,0))))</f>
        <v>541.11149876867421</v>
      </c>
      <c r="N196" s="168">
        <f ca="1">IF($C196-N$1&lt;År1,0,M195*(1-VLOOKUP($A196,[1]Hugst!$R$5:$W$9,MATCH(ROUNDUP((N$1)/10,0)*10,[1]Hugst!$R$4:$W$4,0))))</f>
        <v>543.83065202883154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177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519.84205266574281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519.84205266574281</v>
      </c>
      <c r="G197" s="168">
        <f ca="1">IF($C197-G$1&lt;År1,0,F196*(1-VLOOKUP($A197,[1]Hugst!$R$5:$W$9,MATCH(ROUNDUP((G$1)/10,0)*10,[1]Hugst!$R$4:$W$4,0))))</f>
        <v>522.45432428720233</v>
      </c>
      <c r="H197" s="168">
        <f ca="1">IF($C197-H$1&lt;År1,0,G196*(1-VLOOKUP($A197,[1]Hugst!$R$5:$W$9,MATCH(ROUNDUP((H$1)/10,0)*10,[1]Hugst!$R$4:$W$4,0))))</f>
        <v>525.07972290170437</v>
      </c>
      <c r="I197" s="168">
        <f ca="1">IF($C197-I$1&lt;År1,0,H196*(1-VLOOKUP($A197,[1]Hugst!$R$5:$W$9,MATCH(ROUNDUP((I$1)/10,0)*10,[1]Hugst!$R$4:$W$4,0))))</f>
        <v>527.71831447407021</v>
      </c>
      <c r="J197" s="168">
        <f ca="1">IF($C197-J$1&lt;År1,0,I196*(1-VLOOKUP($A197,[1]Hugst!$R$5:$W$9,MATCH(ROUNDUP((J$1)/10,0)*10,[1]Hugst!$R$4:$W$4,0))))</f>
        <v>530.37016530057008</v>
      </c>
      <c r="K197" s="168">
        <f ca="1">IF($C197-K$1&lt;År1,0,J196*(1-VLOOKUP($A197,[1]Hugst!$R$5:$W$9,MATCH(ROUNDUP((K$1)/10,0)*10,[1]Hugst!$R$4:$W$4,0))))</f>
        <v>533.03534201062575</v>
      </c>
      <c r="L197" s="168">
        <f ca="1">IF($C197-L$1&lt;År1,0,K196*(1-VLOOKUP($A197,[1]Hugst!$R$5:$W$9,MATCH(ROUNDUP((L$1)/10,0)*10,[1]Hugst!$R$4:$W$4,0))))</f>
        <v>535.71391156846948</v>
      </c>
      <c r="M197" s="168">
        <f ca="1">IF($C197-M$1&lt;År1,0,L196*(1-VLOOKUP($A197,[1]Hugst!$R$5:$W$9,MATCH(ROUNDUP((M$1)/10,0)*10,[1]Hugst!$R$4:$W$4,0))))</f>
        <v>538.40594127484655</v>
      </c>
      <c r="N197" s="168">
        <f ca="1">IF($C197-N$1&lt;År1,0,M196*(1-VLOOKUP($A197,[1]Hugst!$R$5:$W$9,MATCH(ROUNDUP((N$1)/10,0)*10,[1]Hugst!$R$4:$W$4,0))))</f>
        <v>541.11149876867421</v>
      </c>
      <c r="O197" s="168">
        <f ca="1">IF($C197-O$1&lt;År1,0,N196*(1-VLOOKUP($A197,[1]Hugst!$R$5:$W$9,MATCH(ROUNDUP((O$1)/10,0)*10,[1]Hugst!$R$4:$W$4,0))))</f>
        <v>543.83065202883154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177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517.24284240244015</v>
      </c>
      <c r="E198" s="168">
        <f t="shared" ca="1" si="4"/>
        <v>1.1937746020148552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518.436617004455</v>
      </c>
      <c r="G198" s="168">
        <f ca="1">IF($C198-G$1&lt;År1,0,F197*(1-VLOOKUP($A198,[1]Hugst!$R$5:$W$9,MATCH(ROUNDUP((G$1)/10,0)*10,[1]Hugst!$R$4:$W$4,0))))</f>
        <v>519.84205266574281</v>
      </c>
      <c r="H198" s="168">
        <f ca="1">IF($C198-H$1&lt;År1,0,G197*(1-VLOOKUP($A198,[1]Hugst!$R$5:$W$9,MATCH(ROUNDUP((H$1)/10,0)*10,[1]Hugst!$R$4:$W$4,0))))</f>
        <v>522.45432428720233</v>
      </c>
      <c r="I198" s="168">
        <f ca="1">IF($C198-I$1&lt;År1,0,H197*(1-VLOOKUP($A198,[1]Hugst!$R$5:$W$9,MATCH(ROUNDUP((I$1)/10,0)*10,[1]Hugst!$R$4:$W$4,0))))</f>
        <v>525.07972290170437</v>
      </c>
      <c r="J198" s="168">
        <f ca="1">IF($C198-J$1&lt;År1,0,I197*(1-VLOOKUP($A198,[1]Hugst!$R$5:$W$9,MATCH(ROUNDUP((J$1)/10,0)*10,[1]Hugst!$R$4:$W$4,0))))</f>
        <v>527.71831447407021</v>
      </c>
      <c r="K198" s="168">
        <f ca="1">IF($C198-K$1&lt;År1,0,J197*(1-VLOOKUP($A198,[1]Hugst!$R$5:$W$9,MATCH(ROUNDUP((K$1)/10,0)*10,[1]Hugst!$R$4:$W$4,0))))</f>
        <v>530.37016530057008</v>
      </c>
      <c r="L198" s="168">
        <f ca="1">IF($C198-L$1&lt;År1,0,K197*(1-VLOOKUP($A198,[1]Hugst!$R$5:$W$9,MATCH(ROUNDUP((L$1)/10,0)*10,[1]Hugst!$R$4:$W$4,0))))</f>
        <v>533.03534201062575</v>
      </c>
      <c r="M198" s="168">
        <f ca="1">IF($C198-M$1&lt;År1,0,L197*(1-VLOOKUP($A198,[1]Hugst!$R$5:$W$9,MATCH(ROUNDUP((M$1)/10,0)*10,[1]Hugst!$R$4:$W$4,0))))</f>
        <v>535.71391156846948</v>
      </c>
      <c r="N198" s="168">
        <f ca="1">IF($C198-N$1&lt;År1,0,M197*(1-VLOOKUP($A198,[1]Hugst!$R$5:$W$9,MATCH(ROUNDUP((N$1)/10,0)*10,[1]Hugst!$R$4:$W$4,0))))</f>
        <v>538.40594127484655</v>
      </c>
      <c r="O198" s="168">
        <f ca="1">IF($C198-O$1&lt;År1,0,N197*(1-VLOOKUP($A198,[1]Hugst!$R$5:$W$9,MATCH(ROUNDUP((O$1)/10,0)*10,[1]Hugst!$R$4:$W$4,0))))</f>
        <v>541.11149876867421</v>
      </c>
      <c r="P198" s="168">
        <f ca="1">IF($C198-P$1&lt;År1,0,O197*(1-VLOOKUP($A198,[1]Hugst!$R$5:$W$9,MATCH(ROUNDUP((P$1)/10,0)*10,[1]Hugst!$R$4:$W$4,0))))</f>
        <v>542.63687742681702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177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514.65662819039426</v>
      </c>
      <c r="E199" s="168">
        <f t="shared" ca="1" si="4"/>
        <v>2.3789598501844011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517.03558804057866</v>
      </c>
      <c r="G199" s="168">
        <f ca="1">IF($C199-G$1&lt;År1,0,F198*(1-VLOOKUP($A199,[1]Hugst!$R$5:$W$9,MATCH(ROUNDUP((G$1)/10,0)*10,[1]Hugst!$R$4:$W$4,0))))</f>
        <v>518.436617004455</v>
      </c>
      <c r="H199" s="168">
        <f ca="1">IF($C199-H$1&lt;År1,0,G198*(1-VLOOKUP($A199,[1]Hugst!$R$5:$W$9,MATCH(ROUNDUP((H$1)/10,0)*10,[1]Hugst!$R$4:$W$4,0))))</f>
        <v>519.84205266574281</v>
      </c>
      <c r="I199" s="168">
        <f ca="1">IF($C199-I$1&lt;År1,0,H198*(1-VLOOKUP($A199,[1]Hugst!$R$5:$W$9,MATCH(ROUNDUP((I$1)/10,0)*10,[1]Hugst!$R$4:$W$4,0))))</f>
        <v>522.45432428720233</v>
      </c>
      <c r="J199" s="168">
        <f ca="1">IF($C199-J$1&lt;År1,0,I198*(1-VLOOKUP($A199,[1]Hugst!$R$5:$W$9,MATCH(ROUNDUP((J$1)/10,0)*10,[1]Hugst!$R$4:$W$4,0))))</f>
        <v>525.07972290170437</v>
      </c>
      <c r="K199" s="168">
        <f ca="1">IF($C199-K$1&lt;År1,0,J198*(1-VLOOKUP($A199,[1]Hugst!$R$5:$W$9,MATCH(ROUNDUP((K$1)/10,0)*10,[1]Hugst!$R$4:$W$4,0))))</f>
        <v>527.71831447407021</v>
      </c>
      <c r="L199" s="168">
        <f ca="1">IF($C199-L$1&lt;År1,0,K198*(1-VLOOKUP($A199,[1]Hugst!$R$5:$W$9,MATCH(ROUNDUP((L$1)/10,0)*10,[1]Hugst!$R$4:$W$4,0))))</f>
        <v>530.37016530057008</v>
      </c>
      <c r="M199" s="168">
        <f ca="1">IF($C199-M$1&lt;År1,0,L198*(1-VLOOKUP($A199,[1]Hugst!$R$5:$W$9,MATCH(ROUNDUP((M$1)/10,0)*10,[1]Hugst!$R$4:$W$4,0))))</f>
        <v>533.03534201062575</v>
      </c>
      <c r="N199" s="168">
        <f ca="1">IF($C199-N$1&lt;År1,0,M198*(1-VLOOKUP($A199,[1]Hugst!$R$5:$W$9,MATCH(ROUNDUP((N$1)/10,0)*10,[1]Hugst!$R$4:$W$4,0))))</f>
        <v>535.71391156846948</v>
      </c>
      <c r="O199" s="168">
        <f ca="1">IF($C199-O$1&lt;År1,0,N198*(1-VLOOKUP($A199,[1]Hugst!$R$5:$W$9,MATCH(ROUNDUP((O$1)/10,0)*10,[1]Hugst!$R$4:$W$4,0))))</f>
        <v>538.40594127484655</v>
      </c>
      <c r="P199" s="168">
        <f ca="1">IF($C199-P$1&lt;År1,0,O198*(1-VLOOKUP($A199,[1]Hugst!$R$5:$W$9,MATCH(ROUNDUP((P$1)/10,0)*10,[1]Hugst!$R$4:$W$4,0))))</f>
        <v>539.92369303966984</v>
      </c>
      <c r="Q199" s="168">
        <f ca="1">IF($C199-Q$1&lt;År1,0,P198*(1-VLOOKUP($A199,[1]Hugst!$R$5:$W$9,MATCH(ROUNDUP((Q$1)/10,0)*10,[1]Hugst!$R$4:$W$4,0))))</f>
        <v>541.44572330563619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177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512.08334504946833</v>
      </c>
      <c r="E200" s="168">
        <f t="shared" ca="1" si="4"/>
        <v>3.5556044435561489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515.63894949302448</v>
      </c>
      <c r="G200" s="168">
        <f ca="1">IF($C200-G$1&lt;År1,0,F199*(1-VLOOKUP($A200,[1]Hugst!$R$5:$W$9,MATCH(ROUNDUP((G$1)/10,0)*10,[1]Hugst!$R$4:$W$4,0))))</f>
        <v>517.03558804057866</v>
      </c>
      <c r="H200" s="168">
        <f ca="1">IF($C200-H$1&lt;År1,0,G199*(1-VLOOKUP($A200,[1]Hugst!$R$5:$W$9,MATCH(ROUNDUP((H$1)/10,0)*10,[1]Hugst!$R$4:$W$4,0))))</f>
        <v>518.436617004455</v>
      </c>
      <c r="I200" s="168">
        <f ca="1">IF($C200-I$1&lt;År1,0,H199*(1-VLOOKUP($A200,[1]Hugst!$R$5:$W$9,MATCH(ROUNDUP((I$1)/10,0)*10,[1]Hugst!$R$4:$W$4,0))))</f>
        <v>519.84205266574281</v>
      </c>
      <c r="J200" s="168">
        <f ca="1">IF($C200-J$1&lt;År1,0,I199*(1-VLOOKUP($A200,[1]Hugst!$R$5:$W$9,MATCH(ROUNDUP((J$1)/10,0)*10,[1]Hugst!$R$4:$W$4,0))))</f>
        <v>522.45432428720233</v>
      </c>
      <c r="K200" s="168">
        <f ca="1">IF($C200-K$1&lt;År1,0,J199*(1-VLOOKUP($A200,[1]Hugst!$R$5:$W$9,MATCH(ROUNDUP((K$1)/10,0)*10,[1]Hugst!$R$4:$W$4,0))))</f>
        <v>525.07972290170437</v>
      </c>
      <c r="L200" s="168">
        <f ca="1">IF($C200-L$1&lt;År1,0,K199*(1-VLOOKUP($A200,[1]Hugst!$R$5:$W$9,MATCH(ROUNDUP((L$1)/10,0)*10,[1]Hugst!$R$4:$W$4,0))))</f>
        <v>527.71831447407021</v>
      </c>
      <c r="M200" s="168">
        <f ca="1">IF($C200-M$1&lt;År1,0,L199*(1-VLOOKUP($A200,[1]Hugst!$R$5:$W$9,MATCH(ROUNDUP((M$1)/10,0)*10,[1]Hugst!$R$4:$W$4,0))))</f>
        <v>530.37016530057008</v>
      </c>
      <c r="N200" s="168">
        <f ca="1">IF($C200-N$1&lt;År1,0,M199*(1-VLOOKUP($A200,[1]Hugst!$R$5:$W$9,MATCH(ROUNDUP((N$1)/10,0)*10,[1]Hugst!$R$4:$W$4,0))))</f>
        <v>533.03534201062575</v>
      </c>
      <c r="O200" s="168">
        <f ca="1">IF($C200-O$1&lt;År1,0,N199*(1-VLOOKUP($A200,[1]Hugst!$R$5:$W$9,MATCH(ROUNDUP((O$1)/10,0)*10,[1]Hugst!$R$4:$W$4,0))))</f>
        <v>535.71391156846948</v>
      </c>
      <c r="P200" s="168">
        <f ca="1">IF($C200-P$1&lt;År1,0,O199*(1-VLOOKUP($A200,[1]Hugst!$R$5:$W$9,MATCH(ROUNDUP((P$1)/10,0)*10,[1]Hugst!$R$4:$W$4,0))))</f>
        <v>537.22407457448719</v>
      </c>
      <c r="Q200" s="168">
        <f ca="1">IF($C200-Q$1&lt;År1,0,P199*(1-VLOOKUP($A200,[1]Hugst!$R$5:$W$9,MATCH(ROUNDUP((Q$1)/10,0)*10,[1]Hugst!$R$4:$W$4,0))))</f>
        <v>538.73849468909498</v>
      </c>
      <c r="R200" s="168">
        <f ca="1">IF($C200-R$1&lt;År1,0,Q199*(1-VLOOKUP($A200,[1]Hugst!$R$5:$W$9,MATCH(ROUNDUP((R$1)/10,0)*10,[1]Hugst!$R$4:$W$4,0))))</f>
        <v>540.25718391301405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177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509.5229283242079</v>
      </c>
      <c r="E201" s="168">
        <f t="shared" ca="1" si="4"/>
        <v>4.7237568250511686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514.24668514925906</v>
      </c>
      <c r="G201" s="168">
        <f ca="1">IF($C201-G$1&lt;År1,0,F200*(1-VLOOKUP($A201,[1]Hugst!$R$5:$W$9,MATCH(ROUNDUP((G$1)/10,0)*10,[1]Hugst!$R$4:$W$4,0))))</f>
        <v>515.63894949302448</v>
      </c>
      <c r="H201" s="168">
        <f ca="1">IF($C201-H$1&lt;År1,0,G200*(1-VLOOKUP($A201,[1]Hugst!$R$5:$W$9,MATCH(ROUNDUP((H$1)/10,0)*10,[1]Hugst!$R$4:$W$4,0))))</f>
        <v>517.03558804057866</v>
      </c>
      <c r="I201" s="168">
        <f ca="1">IF($C201-I$1&lt;År1,0,H200*(1-VLOOKUP($A201,[1]Hugst!$R$5:$W$9,MATCH(ROUNDUP((I$1)/10,0)*10,[1]Hugst!$R$4:$W$4,0))))</f>
        <v>518.436617004455</v>
      </c>
      <c r="J201" s="168">
        <f ca="1">IF($C201-J$1&lt;År1,0,I200*(1-VLOOKUP($A201,[1]Hugst!$R$5:$W$9,MATCH(ROUNDUP((J$1)/10,0)*10,[1]Hugst!$R$4:$W$4,0))))</f>
        <v>519.84205266574281</v>
      </c>
      <c r="K201" s="168">
        <f ca="1">IF($C201-K$1&lt;År1,0,J200*(1-VLOOKUP($A201,[1]Hugst!$R$5:$W$9,MATCH(ROUNDUP((K$1)/10,0)*10,[1]Hugst!$R$4:$W$4,0))))</f>
        <v>522.45432428720233</v>
      </c>
      <c r="L201" s="168">
        <f ca="1">IF($C201-L$1&lt;År1,0,K200*(1-VLOOKUP($A201,[1]Hugst!$R$5:$W$9,MATCH(ROUNDUP((L$1)/10,0)*10,[1]Hugst!$R$4:$W$4,0))))</f>
        <v>525.07972290170437</v>
      </c>
      <c r="M201" s="168">
        <f ca="1">IF($C201-M$1&lt;År1,0,L200*(1-VLOOKUP($A201,[1]Hugst!$R$5:$W$9,MATCH(ROUNDUP((M$1)/10,0)*10,[1]Hugst!$R$4:$W$4,0))))</f>
        <v>527.71831447407021</v>
      </c>
      <c r="N201" s="168">
        <f ca="1">IF($C201-N$1&lt;År1,0,M200*(1-VLOOKUP($A201,[1]Hugst!$R$5:$W$9,MATCH(ROUNDUP((N$1)/10,0)*10,[1]Hugst!$R$4:$W$4,0))))</f>
        <v>530.37016530057008</v>
      </c>
      <c r="O201" s="168">
        <f ca="1">IF($C201-O$1&lt;År1,0,N200*(1-VLOOKUP($A201,[1]Hugst!$R$5:$W$9,MATCH(ROUNDUP((O$1)/10,0)*10,[1]Hugst!$R$4:$W$4,0))))</f>
        <v>533.03534201062575</v>
      </c>
      <c r="P201" s="168">
        <f ca="1">IF($C201-P$1&lt;År1,0,O200*(1-VLOOKUP($A201,[1]Hugst!$R$5:$W$9,MATCH(ROUNDUP((P$1)/10,0)*10,[1]Hugst!$R$4:$W$4,0))))</f>
        <v>534.53795420161191</v>
      </c>
      <c r="Q201" s="168">
        <f ca="1">IF($C201-Q$1&lt;År1,0,P200*(1-VLOOKUP($A201,[1]Hugst!$R$5:$W$9,MATCH(ROUNDUP((Q$1)/10,0)*10,[1]Hugst!$R$4:$W$4,0))))</f>
        <v>536.04480221566519</v>
      </c>
      <c r="R201" s="168">
        <f ca="1">IF($C201-R$1&lt;År1,0,Q200*(1-VLOOKUP($A201,[1]Hugst!$R$5:$W$9,MATCH(ROUNDUP((R$1)/10,0)*10,[1]Hugst!$R$4:$W$4,0))))</f>
        <v>537.55589799343602</v>
      </c>
      <c r="S201" s="168">
        <f ca="1">IF($C201-S$1&lt;År1,0,R200*(1-VLOOKUP($A201,[1]Hugst!$R$5:$W$9,MATCH(ROUNDUP((S$1)/10,0)*10,[1]Hugst!$R$4:$W$4,0))))</f>
        <v>539.07125350930255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177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506.97531368258933</v>
      </c>
      <c r="E202" s="168">
        <f t="shared" ca="1" si="4"/>
        <v>5.8834651827737616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512.85877886536309</v>
      </c>
      <c r="G202" s="168">
        <f ca="1">IF($C202-G$1&lt;År1,0,F201*(1-VLOOKUP($A202,[1]Hugst!$R$5:$W$9,MATCH(ROUNDUP((G$1)/10,0)*10,[1]Hugst!$R$4:$W$4,0))))</f>
        <v>514.24668514925906</v>
      </c>
      <c r="H202" s="168">
        <f ca="1">IF($C202-H$1&lt;År1,0,G201*(1-VLOOKUP($A202,[1]Hugst!$R$5:$W$9,MATCH(ROUNDUP((H$1)/10,0)*10,[1]Hugst!$R$4:$W$4,0))))</f>
        <v>515.63894949302448</v>
      </c>
      <c r="I202" s="168">
        <f ca="1">IF($C202-I$1&lt;År1,0,H201*(1-VLOOKUP($A202,[1]Hugst!$R$5:$W$9,MATCH(ROUNDUP((I$1)/10,0)*10,[1]Hugst!$R$4:$W$4,0))))</f>
        <v>517.03558804057866</v>
      </c>
      <c r="J202" s="168">
        <f ca="1">IF($C202-J$1&lt;År1,0,I201*(1-VLOOKUP($A202,[1]Hugst!$R$5:$W$9,MATCH(ROUNDUP((J$1)/10,0)*10,[1]Hugst!$R$4:$W$4,0))))</f>
        <v>518.436617004455</v>
      </c>
      <c r="K202" s="168">
        <f ca="1">IF($C202-K$1&lt;År1,0,J201*(1-VLOOKUP($A202,[1]Hugst!$R$5:$W$9,MATCH(ROUNDUP((K$1)/10,0)*10,[1]Hugst!$R$4:$W$4,0))))</f>
        <v>519.84205266574281</v>
      </c>
      <c r="L202" s="168">
        <f ca="1">IF($C202-L$1&lt;År1,0,K201*(1-VLOOKUP($A202,[1]Hugst!$R$5:$W$9,MATCH(ROUNDUP((L$1)/10,0)*10,[1]Hugst!$R$4:$W$4,0))))</f>
        <v>522.45432428720233</v>
      </c>
      <c r="M202" s="168">
        <f ca="1">IF($C202-M$1&lt;År1,0,L201*(1-VLOOKUP($A202,[1]Hugst!$R$5:$W$9,MATCH(ROUNDUP((M$1)/10,0)*10,[1]Hugst!$R$4:$W$4,0))))</f>
        <v>525.07972290170437</v>
      </c>
      <c r="N202" s="168">
        <f ca="1">IF($C202-N$1&lt;År1,0,M201*(1-VLOOKUP($A202,[1]Hugst!$R$5:$W$9,MATCH(ROUNDUP((N$1)/10,0)*10,[1]Hugst!$R$4:$W$4,0))))</f>
        <v>527.71831447407021</v>
      </c>
      <c r="O202" s="168">
        <f ca="1">IF($C202-O$1&lt;År1,0,N201*(1-VLOOKUP($A202,[1]Hugst!$R$5:$W$9,MATCH(ROUNDUP((O$1)/10,0)*10,[1]Hugst!$R$4:$W$4,0))))</f>
        <v>530.37016530057008</v>
      </c>
      <c r="P202" s="168">
        <f ca="1">IF($C202-P$1&lt;År1,0,O201*(1-VLOOKUP($A202,[1]Hugst!$R$5:$W$9,MATCH(ROUNDUP((P$1)/10,0)*10,[1]Hugst!$R$4:$W$4,0))))</f>
        <v>531.86526443060245</v>
      </c>
      <c r="Q202" s="168">
        <f ca="1">IF($C202-Q$1&lt;År1,0,P201*(1-VLOOKUP($A202,[1]Hugst!$R$5:$W$9,MATCH(ROUNDUP((Q$1)/10,0)*10,[1]Hugst!$R$4:$W$4,0))))</f>
        <v>533.36457820458395</v>
      </c>
      <c r="R202" s="168">
        <f ca="1">IF($C202-R$1&lt;År1,0,Q201*(1-VLOOKUP($A202,[1]Hugst!$R$5:$W$9,MATCH(ROUNDUP((R$1)/10,0)*10,[1]Hugst!$R$4:$W$4,0))))</f>
        <v>534.86811850348442</v>
      </c>
      <c r="S202" s="168">
        <f ca="1">IF($C202-S$1&lt;År1,0,R201*(1-VLOOKUP($A202,[1]Hugst!$R$5:$W$9,MATCH(ROUNDUP((S$1)/10,0)*10,[1]Hugst!$R$4:$W$4,0))))</f>
        <v>536.37589724174313</v>
      </c>
      <c r="T202" s="168">
        <f ca="1">IF($C202-T$1&lt;År1,0,S201*(1-VLOOKUP($A202,[1]Hugst!$R$5:$W$9,MATCH(ROUNDUP((T$1)/10,0)*10,[1]Hugst!$R$4:$W$4,0))))</f>
        <v>537.88792636745291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177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504.44043711418635</v>
      </c>
      <c r="E203" s="168">
        <f t="shared" ca="1" si="4"/>
        <v>7.0347774513256809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511.47521456551203</v>
      </c>
      <c r="G203" s="168">
        <f ca="1">IF($C203-G$1&lt;År1,0,F202*(1-VLOOKUP($A203,[1]Hugst!$R$5:$W$9,MATCH(ROUNDUP((G$1)/10,0)*10,[1]Hugst!$R$4:$W$4,0))))</f>
        <v>512.85877886536309</v>
      </c>
      <c r="H203" s="168">
        <f ca="1">IF($C203-H$1&lt;År1,0,G202*(1-VLOOKUP($A203,[1]Hugst!$R$5:$W$9,MATCH(ROUNDUP((H$1)/10,0)*10,[1]Hugst!$R$4:$W$4,0))))</f>
        <v>514.24668514925906</v>
      </c>
      <c r="I203" s="168">
        <f ca="1">IF($C203-I$1&lt;År1,0,H202*(1-VLOOKUP($A203,[1]Hugst!$R$5:$W$9,MATCH(ROUNDUP((I$1)/10,0)*10,[1]Hugst!$R$4:$W$4,0))))</f>
        <v>515.63894949302448</v>
      </c>
      <c r="J203" s="168">
        <f ca="1">IF($C203-J$1&lt;År1,0,I202*(1-VLOOKUP($A203,[1]Hugst!$R$5:$W$9,MATCH(ROUNDUP((J$1)/10,0)*10,[1]Hugst!$R$4:$W$4,0))))</f>
        <v>517.03558804057866</v>
      </c>
      <c r="K203" s="168">
        <f ca="1">IF($C203-K$1&lt;År1,0,J202*(1-VLOOKUP($A203,[1]Hugst!$R$5:$W$9,MATCH(ROUNDUP((K$1)/10,0)*10,[1]Hugst!$R$4:$W$4,0))))</f>
        <v>518.436617004455</v>
      </c>
      <c r="L203" s="168">
        <f ca="1">IF($C203-L$1&lt;År1,0,K202*(1-VLOOKUP($A203,[1]Hugst!$R$5:$W$9,MATCH(ROUNDUP((L$1)/10,0)*10,[1]Hugst!$R$4:$W$4,0))))</f>
        <v>519.84205266574281</v>
      </c>
      <c r="M203" s="168">
        <f ca="1">IF($C203-M$1&lt;År1,0,L202*(1-VLOOKUP($A203,[1]Hugst!$R$5:$W$9,MATCH(ROUNDUP((M$1)/10,0)*10,[1]Hugst!$R$4:$W$4,0))))</f>
        <v>522.45432428720233</v>
      </c>
      <c r="N203" s="168">
        <f ca="1">IF($C203-N$1&lt;År1,0,M202*(1-VLOOKUP($A203,[1]Hugst!$R$5:$W$9,MATCH(ROUNDUP((N$1)/10,0)*10,[1]Hugst!$R$4:$W$4,0))))</f>
        <v>525.07972290170437</v>
      </c>
      <c r="O203" s="168">
        <f ca="1">IF($C203-O$1&lt;År1,0,N202*(1-VLOOKUP($A203,[1]Hugst!$R$5:$W$9,MATCH(ROUNDUP((O$1)/10,0)*10,[1]Hugst!$R$4:$W$4,0))))</f>
        <v>527.71831447407021</v>
      </c>
      <c r="P203" s="168">
        <f ca="1">IF($C203-P$1&lt;År1,0,O202*(1-VLOOKUP($A203,[1]Hugst!$R$5:$W$9,MATCH(ROUNDUP((P$1)/10,0)*10,[1]Hugst!$R$4:$W$4,0))))</f>
        <v>529.20593810844684</v>
      </c>
      <c r="Q203" s="168">
        <f ca="1">IF($C203-Q$1&lt;År1,0,P202*(1-VLOOKUP($A203,[1]Hugst!$R$5:$W$9,MATCH(ROUNDUP((Q$1)/10,0)*10,[1]Hugst!$R$4:$W$4,0))))</f>
        <v>530.6977553135597</v>
      </c>
      <c r="R203" s="168">
        <f ca="1">IF($C203-R$1&lt;År1,0,Q202*(1-VLOOKUP($A203,[1]Hugst!$R$5:$W$9,MATCH(ROUNDUP((R$1)/10,0)*10,[1]Hugst!$R$4:$W$4,0))))</f>
        <v>532.19377791096417</v>
      </c>
      <c r="S203" s="168">
        <f ca="1">IF($C203-S$1&lt;År1,0,R202*(1-VLOOKUP($A203,[1]Hugst!$R$5:$W$9,MATCH(ROUNDUP((S$1)/10,0)*10,[1]Hugst!$R$4:$W$4,0))))</f>
        <v>533.69401775554991</v>
      </c>
      <c r="T203" s="168">
        <f ca="1">IF($C203-T$1&lt;År1,0,S202*(1-VLOOKUP($A203,[1]Hugst!$R$5:$W$9,MATCH(ROUNDUP((T$1)/10,0)*10,[1]Hugst!$R$4:$W$4,0))))</f>
        <v>535.19848673560273</v>
      </c>
      <c r="U203" s="168">
        <f ca="1">IF($C203-U$1&lt;År1,0,T202*(1-VLOOKUP($A203,[1]Hugst!$R$5:$W$9,MATCH(ROUNDUP((U$1)/10,0)*10,[1]Hugst!$R$4:$W$4,0))))</f>
        <v>536.7071967729878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177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501.91823492861295</v>
      </c>
      <c r="E204" s="168">
        <f t="shared" ca="1" si="4"/>
        <v>8.1777413130821515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510.0959762416951</v>
      </c>
      <c r="G204" s="168">
        <f ca="1">IF($C204-G$1&lt;År1,0,F203*(1-VLOOKUP($A204,[1]Hugst!$R$5:$W$9,MATCH(ROUNDUP((G$1)/10,0)*10,[1]Hugst!$R$4:$W$4,0))))</f>
        <v>511.47521456551203</v>
      </c>
      <c r="H204" s="168">
        <f ca="1">IF($C204-H$1&lt;År1,0,G203*(1-VLOOKUP($A204,[1]Hugst!$R$5:$W$9,MATCH(ROUNDUP((H$1)/10,0)*10,[1]Hugst!$R$4:$W$4,0))))</f>
        <v>512.85877886536309</v>
      </c>
      <c r="I204" s="168">
        <f ca="1">IF($C204-I$1&lt;År1,0,H203*(1-VLOOKUP($A204,[1]Hugst!$R$5:$W$9,MATCH(ROUNDUP((I$1)/10,0)*10,[1]Hugst!$R$4:$W$4,0))))</f>
        <v>514.24668514925906</v>
      </c>
      <c r="J204" s="168">
        <f ca="1">IF($C204-J$1&lt;År1,0,I203*(1-VLOOKUP($A204,[1]Hugst!$R$5:$W$9,MATCH(ROUNDUP((J$1)/10,0)*10,[1]Hugst!$R$4:$W$4,0))))</f>
        <v>515.63894949302448</v>
      </c>
      <c r="K204" s="168">
        <f ca="1">IF($C204-K$1&lt;År1,0,J203*(1-VLOOKUP($A204,[1]Hugst!$R$5:$W$9,MATCH(ROUNDUP((K$1)/10,0)*10,[1]Hugst!$R$4:$W$4,0))))</f>
        <v>517.03558804057866</v>
      </c>
      <c r="L204" s="168">
        <f ca="1">IF($C204-L$1&lt;År1,0,K203*(1-VLOOKUP($A204,[1]Hugst!$R$5:$W$9,MATCH(ROUNDUP((L$1)/10,0)*10,[1]Hugst!$R$4:$W$4,0))))</f>
        <v>518.436617004455</v>
      </c>
      <c r="M204" s="168">
        <f ca="1">IF($C204-M$1&lt;År1,0,L203*(1-VLOOKUP($A204,[1]Hugst!$R$5:$W$9,MATCH(ROUNDUP((M$1)/10,0)*10,[1]Hugst!$R$4:$W$4,0))))</f>
        <v>519.84205266574281</v>
      </c>
      <c r="N204" s="168">
        <f ca="1">IF($C204-N$1&lt;År1,0,M203*(1-VLOOKUP($A204,[1]Hugst!$R$5:$W$9,MATCH(ROUNDUP((N$1)/10,0)*10,[1]Hugst!$R$4:$W$4,0))))</f>
        <v>522.45432428720233</v>
      </c>
      <c r="O204" s="168">
        <f ca="1">IF($C204-O$1&lt;År1,0,N203*(1-VLOOKUP($A204,[1]Hugst!$R$5:$W$9,MATCH(ROUNDUP((O$1)/10,0)*10,[1]Hugst!$R$4:$W$4,0))))</f>
        <v>525.07972290170437</v>
      </c>
      <c r="P204" s="168">
        <f ca="1">IF($C204-P$1&lt;År1,0,O203*(1-VLOOKUP($A204,[1]Hugst!$R$5:$W$9,MATCH(ROUNDUP((P$1)/10,0)*10,[1]Hugst!$R$4:$W$4,0))))</f>
        <v>526.55990841790765</v>
      </c>
      <c r="Q204" s="168">
        <f ca="1">IF($C204-Q$1&lt;År1,0,P203*(1-VLOOKUP($A204,[1]Hugst!$R$5:$W$9,MATCH(ROUNDUP((Q$1)/10,0)*10,[1]Hugst!$R$4:$W$4,0))))</f>
        <v>528.04426653698931</v>
      </c>
      <c r="R204" s="168">
        <f ca="1">IF($C204-R$1&lt;År1,0,Q203*(1-VLOOKUP($A204,[1]Hugst!$R$5:$W$9,MATCH(ROUNDUP((R$1)/10,0)*10,[1]Hugst!$R$4:$W$4,0))))</f>
        <v>529.53280902140796</v>
      </c>
      <c r="S204" s="168">
        <f ca="1">IF($C204-S$1&lt;År1,0,R203*(1-VLOOKUP($A204,[1]Hugst!$R$5:$W$9,MATCH(ROUNDUP((S$1)/10,0)*10,[1]Hugst!$R$4:$W$4,0))))</f>
        <v>531.0255476667694</v>
      </c>
      <c r="T204" s="168">
        <f ca="1">IF($C204-T$1&lt;År1,0,S203*(1-VLOOKUP($A204,[1]Hugst!$R$5:$W$9,MATCH(ROUNDUP((T$1)/10,0)*10,[1]Hugst!$R$4:$W$4,0))))</f>
        <v>532.52249430194013</v>
      </c>
      <c r="U204" s="168">
        <f ca="1">IF($C204-U$1&lt;År1,0,T203*(1-VLOOKUP($A204,[1]Hugst!$R$5:$W$9,MATCH(ROUNDUP((U$1)/10,0)*10,[1]Hugst!$R$4:$W$4,0))))</f>
        <v>534.02366078910995</v>
      </c>
      <c r="V204" s="168">
        <f ca="1">IF($C204-V$1&lt;År1,0,U203*(1-VLOOKUP($A204,[1]Hugst!$R$5:$W$9,MATCH(ROUNDUP((V$1)/10,0)*10,[1]Hugst!$R$4:$W$4,0))))</f>
        <v>535.5290590239739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177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499.40864375396632</v>
      </c>
      <c r="E205" s="168">
        <f t="shared" ca="1" si="4"/>
        <v>9.3124041994979052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508.72104795346422</v>
      </c>
      <c r="G205" s="168">
        <f ca="1">IF($C205-G$1&lt;År1,0,F204*(1-VLOOKUP($A205,[1]Hugst!$R$5:$W$9,MATCH(ROUNDUP((G$1)/10,0)*10,[1]Hugst!$R$4:$W$4,0))))</f>
        <v>510.0959762416951</v>
      </c>
      <c r="H205" s="168">
        <f ca="1">IF($C205-H$1&lt;År1,0,G204*(1-VLOOKUP($A205,[1]Hugst!$R$5:$W$9,MATCH(ROUNDUP((H$1)/10,0)*10,[1]Hugst!$R$4:$W$4,0))))</f>
        <v>511.47521456551203</v>
      </c>
      <c r="I205" s="168">
        <f ca="1">IF($C205-I$1&lt;År1,0,H204*(1-VLOOKUP($A205,[1]Hugst!$R$5:$W$9,MATCH(ROUNDUP((I$1)/10,0)*10,[1]Hugst!$R$4:$W$4,0))))</f>
        <v>512.85877886536309</v>
      </c>
      <c r="J205" s="168">
        <f ca="1">IF($C205-J$1&lt;År1,0,I204*(1-VLOOKUP($A205,[1]Hugst!$R$5:$W$9,MATCH(ROUNDUP((J$1)/10,0)*10,[1]Hugst!$R$4:$W$4,0))))</f>
        <v>514.24668514925906</v>
      </c>
      <c r="K205" s="168">
        <f ca="1">IF($C205-K$1&lt;År1,0,J204*(1-VLOOKUP($A205,[1]Hugst!$R$5:$W$9,MATCH(ROUNDUP((K$1)/10,0)*10,[1]Hugst!$R$4:$W$4,0))))</f>
        <v>515.63894949302448</v>
      </c>
      <c r="L205" s="168">
        <f ca="1">IF($C205-L$1&lt;År1,0,K204*(1-VLOOKUP($A205,[1]Hugst!$R$5:$W$9,MATCH(ROUNDUP((L$1)/10,0)*10,[1]Hugst!$R$4:$W$4,0))))</f>
        <v>517.03558804057866</v>
      </c>
      <c r="M205" s="168">
        <f ca="1">IF($C205-M$1&lt;År1,0,L204*(1-VLOOKUP($A205,[1]Hugst!$R$5:$W$9,MATCH(ROUNDUP((M$1)/10,0)*10,[1]Hugst!$R$4:$W$4,0))))</f>
        <v>518.436617004455</v>
      </c>
      <c r="N205" s="168">
        <f ca="1">IF($C205-N$1&lt;År1,0,M204*(1-VLOOKUP($A205,[1]Hugst!$R$5:$W$9,MATCH(ROUNDUP((N$1)/10,0)*10,[1]Hugst!$R$4:$W$4,0))))</f>
        <v>519.84205266574281</v>
      </c>
      <c r="O205" s="168">
        <f ca="1">IF($C205-O$1&lt;År1,0,N204*(1-VLOOKUP($A205,[1]Hugst!$R$5:$W$9,MATCH(ROUNDUP((O$1)/10,0)*10,[1]Hugst!$R$4:$W$4,0))))</f>
        <v>522.45432428720233</v>
      </c>
      <c r="P205" s="168">
        <f ca="1">IF($C205-P$1&lt;År1,0,O204*(1-VLOOKUP($A205,[1]Hugst!$R$5:$W$9,MATCH(ROUNDUP((P$1)/10,0)*10,[1]Hugst!$R$4:$W$4,0))))</f>
        <v>523.92710887582257</v>
      </c>
      <c r="Q205" s="168">
        <f ca="1">IF($C205-Q$1&lt;År1,0,P204*(1-VLOOKUP($A205,[1]Hugst!$R$5:$W$9,MATCH(ROUNDUP((Q$1)/10,0)*10,[1]Hugst!$R$4:$W$4,0))))</f>
        <v>525.40404520430741</v>
      </c>
      <c r="R205" s="168">
        <f ca="1">IF($C205-R$1&lt;År1,0,Q204*(1-VLOOKUP($A205,[1]Hugst!$R$5:$W$9,MATCH(ROUNDUP((R$1)/10,0)*10,[1]Hugst!$R$4:$W$4,0))))</f>
        <v>526.88514497629831</v>
      </c>
      <c r="S205" s="168">
        <f ca="1">IF($C205-S$1&lt;År1,0,R204*(1-VLOOKUP($A205,[1]Hugst!$R$5:$W$9,MATCH(ROUNDUP((S$1)/10,0)*10,[1]Hugst!$R$4:$W$4,0))))</f>
        <v>528.3704199284341</v>
      </c>
      <c r="T205" s="168">
        <f ca="1">IF($C205-T$1&lt;År1,0,S204*(1-VLOOKUP($A205,[1]Hugst!$R$5:$W$9,MATCH(ROUNDUP((T$1)/10,0)*10,[1]Hugst!$R$4:$W$4,0))))</f>
        <v>529.85988183042775</v>
      </c>
      <c r="U205" s="168">
        <f ca="1">IF($C205-U$1&lt;År1,0,T204*(1-VLOOKUP($A205,[1]Hugst!$R$5:$W$9,MATCH(ROUNDUP((U$1)/10,0)*10,[1]Hugst!$R$4:$W$4,0))))</f>
        <v>531.35354248517979</v>
      </c>
      <c r="V205" s="168">
        <f ca="1">IF($C205-V$1&lt;År1,0,U204*(1-VLOOKUP($A205,[1]Hugst!$R$5:$W$9,MATCH(ROUNDUP((V$1)/10,0)*10,[1]Hugst!$R$4:$W$4,0))))</f>
        <v>532.85141372884118</v>
      </c>
      <c r="W205" s="168">
        <f ca="1">IF($C205-W$1&lt;År1,0,V204*(1-VLOOKUP($A205,[1]Hugst!$R$5:$W$9,MATCH(ROUNDUP((W$1)/10,0)*10,[1]Hugst!$R$4:$W$4,0))))</f>
        <v>534.35350743099445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177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496.91160053521162</v>
      </c>
      <c r="E206" s="168">
        <f t="shared" ca="1" si="4"/>
        <v>10.438813292370469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507.35041382758209</v>
      </c>
      <c r="G206" s="168">
        <f ca="1">IF($C206-G$1&lt;År1,0,F205*(1-VLOOKUP($A206,[1]Hugst!$R$5:$W$9,MATCH(ROUNDUP((G$1)/10,0)*10,[1]Hugst!$R$4:$W$4,0))))</f>
        <v>508.72104795346422</v>
      </c>
      <c r="H206" s="168">
        <f ca="1">IF($C206-H$1&lt;År1,0,G205*(1-VLOOKUP($A206,[1]Hugst!$R$5:$W$9,MATCH(ROUNDUP((H$1)/10,0)*10,[1]Hugst!$R$4:$W$4,0))))</f>
        <v>510.0959762416951</v>
      </c>
      <c r="I206" s="168">
        <f ca="1">IF($C206-I$1&lt;År1,0,H205*(1-VLOOKUP($A206,[1]Hugst!$R$5:$W$9,MATCH(ROUNDUP((I$1)/10,0)*10,[1]Hugst!$R$4:$W$4,0))))</f>
        <v>511.47521456551203</v>
      </c>
      <c r="J206" s="168">
        <f ca="1">IF($C206-J$1&lt;År1,0,I205*(1-VLOOKUP($A206,[1]Hugst!$R$5:$W$9,MATCH(ROUNDUP((J$1)/10,0)*10,[1]Hugst!$R$4:$W$4,0))))</f>
        <v>512.85877886536309</v>
      </c>
      <c r="K206" s="168">
        <f ca="1">IF($C206-K$1&lt;År1,0,J205*(1-VLOOKUP($A206,[1]Hugst!$R$5:$W$9,MATCH(ROUNDUP((K$1)/10,0)*10,[1]Hugst!$R$4:$W$4,0))))</f>
        <v>514.24668514925906</v>
      </c>
      <c r="L206" s="168">
        <f ca="1">IF($C206-L$1&lt;År1,0,K205*(1-VLOOKUP($A206,[1]Hugst!$R$5:$W$9,MATCH(ROUNDUP((L$1)/10,0)*10,[1]Hugst!$R$4:$W$4,0))))</f>
        <v>515.63894949302448</v>
      </c>
      <c r="M206" s="168">
        <f ca="1">IF($C206-M$1&lt;År1,0,L205*(1-VLOOKUP($A206,[1]Hugst!$R$5:$W$9,MATCH(ROUNDUP((M$1)/10,0)*10,[1]Hugst!$R$4:$W$4,0))))</f>
        <v>517.03558804057866</v>
      </c>
      <c r="N206" s="168">
        <f ca="1">IF($C206-N$1&lt;År1,0,M205*(1-VLOOKUP($A206,[1]Hugst!$R$5:$W$9,MATCH(ROUNDUP((N$1)/10,0)*10,[1]Hugst!$R$4:$W$4,0))))</f>
        <v>518.436617004455</v>
      </c>
      <c r="O206" s="168">
        <f ca="1">IF($C206-O$1&lt;År1,0,N205*(1-VLOOKUP($A206,[1]Hugst!$R$5:$W$9,MATCH(ROUNDUP((O$1)/10,0)*10,[1]Hugst!$R$4:$W$4,0))))</f>
        <v>519.84205266574281</v>
      </c>
      <c r="P206" s="168">
        <f ca="1">IF($C206-P$1&lt;År1,0,O205*(1-VLOOKUP($A206,[1]Hugst!$R$5:$W$9,MATCH(ROUNDUP((P$1)/10,0)*10,[1]Hugst!$R$4:$W$4,0))))</f>
        <v>521.30747333144996</v>
      </c>
      <c r="Q206" s="168">
        <f ca="1">IF($C206-Q$1&lt;År1,0,P205*(1-VLOOKUP($A206,[1]Hugst!$R$5:$W$9,MATCH(ROUNDUP((Q$1)/10,0)*10,[1]Hugst!$R$4:$W$4,0))))</f>
        <v>522.77702497829023</v>
      </c>
      <c r="R206" s="168">
        <f ca="1">IF($C206-R$1&lt;År1,0,Q205*(1-VLOOKUP($A206,[1]Hugst!$R$5:$W$9,MATCH(ROUNDUP((R$1)/10,0)*10,[1]Hugst!$R$4:$W$4,0))))</f>
        <v>524.25071925141992</v>
      </c>
      <c r="S206" s="168">
        <f ca="1">IF($C206-S$1&lt;År1,0,R205*(1-VLOOKUP($A206,[1]Hugst!$R$5:$W$9,MATCH(ROUNDUP((S$1)/10,0)*10,[1]Hugst!$R$4:$W$4,0))))</f>
        <v>525.72856782878932</v>
      </c>
      <c r="T206" s="168">
        <f ca="1">IF($C206-T$1&lt;År1,0,S205*(1-VLOOKUP($A206,[1]Hugst!$R$5:$W$9,MATCH(ROUNDUP((T$1)/10,0)*10,[1]Hugst!$R$4:$W$4,0))))</f>
        <v>527.21058242127413</v>
      </c>
      <c r="U206" s="168">
        <f ca="1">IF($C206-U$1&lt;År1,0,T205*(1-VLOOKUP($A206,[1]Hugst!$R$5:$W$9,MATCH(ROUNDUP((U$1)/10,0)*10,[1]Hugst!$R$4:$W$4,0))))</f>
        <v>528.69677477275116</v>
      </c>
      <c r="V206" s="168">
        <f ca="1">IF($C206-V$1&lt;År1,0,U205*(1-VLOOKUP($A206,[1]Hugst!$R$5:$W$9,MATCH(ROUNDUP((V$1)/10,0)*10,[1]Hugst!$R$4:$W$4,0))))</f>
        <v>530.18715666021228</v>
      </c>
      <c r="W206" s="168">
        <f ca="1">IF($C206-W$1&lt;År1,0,V205*(1-VLOOKUP($A206,[1]Hugst!$R$5:$W$9,MATCH(ROUNDUP((W$1)/10,0)*10,[1]Hugst!$R$4:$W$4,0))))</f>
        <v>531.6817398938266</v>
      </c>
      <c r="X206" s="168">
        <f ca="1">IF($C206-X$1&lt;År1,0,W205*(1-VLOOKUP($A206,[1]Hugst!$R$5:$W$9,MATCH(ROUNDUP((X$1)/10,0)*10,[1]Hugst!$R$4:$W$4,0))))</f>
        <v>533.18053631712155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177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494.42704253250849</v>
      </c>
      <c r="E207" s="168">
        <f t="shared" ca="1" si="4"/>
        <v>11.557015525146198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505.98405805765469</v>
      </c>
      <c r="G207" s="168">
        <f ca="1">IF($C207-G$1&lt;År1,0,F206*(1-VLOOKUP($A207,[1]Hugst!$R$5:$W$9,MATCH(ROUNDUP((G$1)/10,0)*10,[1]Hugst!$R$4:$W$4,0))))</f>
        <v>507.35041382758209</v>
      </c>
      <c r="H207" s="168">
        <f ca="1">IF($C207-H$1&lt;År1,0,G206*(1-VLOOKUP($A207,[1]Hugst!$R$5:$W$9,MATCH(ROUNDUP((H$1)/10,0)*10,[1]Hugst!$R$4:$W$4,0))))</f>
        <v>508.72104795346422</v>
      </c>
      <c r="I207" s="168">
        <f ca="1">IF($C207-I$1&lt;År1,0,H206*(1-VLOOKUP($A207,[1]Hugst!$R$5:$W$9,MATCH(ROUNDUP((I$1)/10,0)*10,[1]Hugst!$R$4:$W$4,0))))</f>
        <v>510.0959762416951</v>
      </c>
      <c r="J207" s="168">
        <f ca="1">IF($C207-J$1&lt;År1,0,I206*(1-VLOOKUP($A207,[1]Hugst!$R$5:$W$9,MATCH(ROUNDUP((J$1)/10,0)*10,[1]Hugst!$R$4:$W$4,0))))</f>
        <v>511.47521456551203</v>
      </c>
      <c r="K207" s="168">
        <f ca="1">IF($C207-K$1&lt;År1,0,J206*(1-VLOOKUP($A207,[1]Hugst!$R$5:$W$9,MATCH(ROUNDUP((K$1)/10,0)*10,[1]Hugst!$R$4:$W$4,0))))</f>
        <v>512.85877886536309</v>
      </c>
      <c r="L207" s="168">
        <f ca="1">IF($C207-L$1&lt;År1,0,K206*(1-VLOOKUP($A207,[1]Hugst!$R$5:$W$9,MATCH(ROUNDUP((L$1)/10,0)*10,[1]Hugst!$R$4:$W$4,0))))</f>
        <v>514.24668514925906</v>
      </c>
      <c r="M207" s="168">
        <f ca="1">IF($C207-M$1&lt;År1,0,L206*(1-VLOOKUP($A207,[1]Hugst!$R$5:$W$9,MATCH(ROUNDUP((M$1)/10,0)*10,[1]Hugst!$R$4:$W$4,0))))</f>
        <v>515.63894949302448</v>
      </c>
      <c r="N207" s="168">
        <f ca="1">IF($C207-N$1&lt;År1,0,M206*(1-VLOOKUP($A207,[1]Hugst!$R$5:$W$9,MATCH(ROUNDUP((N$1)/10,0)*10,[1]Hugst!$R$4:$W$4,0))))</f>
        <v>517.03558804057866</v>
      </c>
      <c r="O207" s="168">
        <f ca="1">IF($C207-O$1&lt;År1,0,N206*(1-VLOOKUP($A207,[1]Hugst!$R$5:$W$9,MATCH(ROUNDUP((O$1)/10,0)*10,[1]Hugst!$R$4:$W$4,0))))</f>
        <v>518.436617004455</v>
      </c>
      <c r="P207" s="168">
        <f ca="1">IF($C207-P$1&lt;År1,0,O206*(1-VLOOKUP($A207,[1]Hugst!$R$5:$W$9,MATCH(ROUNDUP((P$1)/10,0)*10,[1]Hugst!$R$4:$W$4,0))))</f>
        <v>518.7009359647692</v>
      </c>
      <c r="Q207" s="168">
        <f ca="1">IF($C207-Q$1&lt;År1,0,P206*(1-VLOOKUP($A207,[1]Hugst!$R$5:$W$9,MATCH(ROUNDUP((Q$1)/10,0)*10,[1]Hugst!$R$4:$W$4,0))))</f>
        <v>520.16313985340526</v>
      </c>
      <c r="R207" s="168">
        <f ca="1">IF($C207-R$1&lt;År1,0,Q206*(1-VLOOKUP($A207,[1]Hugst!$R$5:$W$9,MATCH(ROUNDUP((R$1)/10,0)*10,[1]Hugst!$R$4:$W$4,0))))</f>
        <v>521.62946565516711</v>
      </c>
      <c r="S207" s="168">
        <f ca="1">IF($C207-S$1&lt;År1,0,R206*(1-VLOOKUP($A207,[1]Hugst!$R$5:$W$9,MATCH(ROUNDUP((S$1)/10,0)*10,[1]Hugst!$R$4:$W$4,0))))</f>
        <v>523.09992498964846</v>
      </c>
      <c r="T207" s="168">
        <f ca="1">IF($C207-T$1&lt;År1,0,S206*(1-VLOOKUP($A207,[1]Hugst!$R$5:$W$9,MATCH(ROUNDUP((T$1)/10,0)*10,[1]Hugst!$R$4:$W$4,0))))</f>
        <v>524.57452950916513</v>
      </c>
      <c r="U207" s="168">
        <f ca="1">IF($C207-U$1&lt;År1,0,T206*(1-VLOOKUP($A207,[1]Hugst!$R$5:$W$9,MATCH(ROUNDUP((U$1)/10,0)*10,[1]Hugst!$R$4:$W$4,0))))</f>
        <v>526.05329089888596</v>
      </c>
      <c r="V207" s="168">
        <f ca="1">IF($C207-V$1&lt;År1,0,U206*(1-VLOOKUP($A207,[1]Hugst!$R$5:$W$9,MATCH(ROUNDUP((V$1)/10,0)*10,[1]Hugst!$R$4:$W$4,0))))</f>
        <v>527.53622087690849</v>
      </c>
      <c r="W207" s="168">
        <f ca="1">IF($C207-W$1&lt;År1,0,V206*(1-VLOOKUP($A207,[1]Hugst!$R$5:$W$9,MATCH(ROUNDUP((W$1)/10,0)*10,[1]Hugst!$R$4:$W$4,0))))</f>
        <v>529.02333119437276</v>
      </c>
      <c r="X207" s="168">
        <f ca="1">IF($C207-X$1&lt;År1,0,W206*(1-VLOOKUP($A207,[1]Hugst!$R$5:$W$9,MATCH(ROUNDUP((X$1)/10,0)*10,[1]Hugst!$R$4:$W$4,0))))</f>
        <v>530.51463363552307</v>
      </c>
      <c r="Y207" s="168">
        <f ca="1">IF($C207-Y$1&lt;År1,0,X206*(1-VLOOKUP($A207,[1]Hugst!$R$5:$W$9,MATCH(ROUNDUP((Y$1)/10,0)*10,[1]Hugst!$R$4:$W$4,0))))</f>
        <v>532.01014001788883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177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491.95490731985774</v>
      </c>
      <c r="E208" s="168">
        <f t="shared" ca="1" si="4"/>
        <v>12.150643782031693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504.10555110188943</v>
      </c>
      <c r="G208" s="168">
        <f ca="1">IF($C208-G$1&lt;År1,0,F207*(1-VLOOKUP($A208,[1]Hugst!$R$5:$W$9,MATCH(ROUNDUP((G$1)/10,0)*10,[1]Hugst!$R$4:$W$4,0))))</f>
        <v>505.98405805765469</v>
      </c>
      <c r="H208" s="168">
        <f ca="1">IF($C208-H$1&lt;År1,0,G207*(1-VLOOKUP($A208,[1]Hugst!$R$5:$W$9,MATCH(ROUNDUP((H$1)/10,0)*10,[1]Hugst!$R$4:$W$4,0))))</f>
        <v>507.35041382758209</v>
      </c>
      <c r="I208" s="168">
        <f ca="1">IF($C208-I$1&lt;År1,0,H207*(1-VLOOKUP($A208,[1]Hugst!$R$5:$W$9,MATCH(ROUNDUP((I$1)/10,0)*10,[1]Hugst!$R$4:$W$4,0))))</f>
        <v>508.72104795346422</v>
      </c>
      <c r="J208" s="168">
        <f ca="1">IF($C208-J$1&lt;År1,0,I207*(1-VLOOKUP($A208,[1]Hugst!$R$5:$W$9,MATCH(ROUNDUP((J$1)/10,0)*10,[1]Hugst!$R$4:$W$4,0))))</f>
        <v>510.0959762416951</v>
      </c>
      <c r="K208" s="168">
        <f ca="1">IF($C208-K$1&lt;År1,0,J207*(1-VLOOKUP($A208,[1]Hugst!$R$5:$W$9,MATCH(ROUNDUP((K$1)/10,0)*10,[1]Hugst!$R$4:$W$4,0))))</f>
        <v>511.47521456551203</v>
      </c>
      <c r="L208" s="168">
        <f ca="1">IF($C208-L$1&lt;År1,0,K207*(1-VLOOKUP($A208,[1]Hugst!$R$5:$W$9,MATCH(ROUNDUP((L$1)/10,0)*10,[1]Hugst!$R$4:$W$4,0))))</f>
        <v>512.85877886536309</v>
      </c>
      <c r="M208" s="168">
        <f ca="1">IF($C208-M$1&lt;År1,0,L207*(1-VLOOKUP($A208,[1]Hugst!$R$5:$W$9,MATCH(ROUNDUP((M$1)/10,0)*10,[1]Hugst!$R$4:$W$4,0))))</f>
        <v>514.24668514925906</v>
      </c>
      <c r="N208" s="168">
        <f ca="1">IF($C208-N$1&lt;År1,0,M207*(1-VLOOKUP($A208,[1]Hugst!$R$5:$W$9,MATCH(ROUNDUP((N$1)/10,0)*10,[1]Hugst!$R$4:$W$4,0))))</f>
        <v>515.63894949302448</v>
      </c>
      <c r="O208" s="168">
        <f ca="1">IF($C208-O$1&lt;År1,0,N207*(1-VLOOKUP($A208,[1]Hugst!$R$5:$W$9,MATCH(ROUNDUP((O$1)/10,0)*10,[1]Hugst!$R$4:$W$4,0))))</f>
        <v>517.03558804057866</v>
      </c>
      <c r="P208" s="168">
        <f ca="1">IF($C208-P$1&lt;År1,0,O207*(1-VLOOKUP($A208,[1]Hugst!$R$5:$W$9,MATCH(ROUNDUP((P$1)/10,0)*10,[1]Hugst!$R$4:$W$4,0))))</f>
        <v>517.29858540615248</v>
      </c>
      <c r="Q208" s="168">
        <f ca="1">IF($C208-Q$1&lt;År1,0,P207*(1-VLOOKUP($A208,[1]Hugst!$R$5:$W$9,MATCH(ROUNDUP((Q$1)/10,0)*10,[1]Hugst!$R$4:$W$4,0))))</f>
        <v>517.56232415411478</v>
      </c>
      <c r="R208" s="168">
        <f ca="1">IF($C208-R$1&lt;År1,0,Q207*(1-VLOOKUP($A208,[1]Hugst!$R$5:$W$9,MATCH(ROUNDUP((R$1)/10,0)*10,[1]Hugst!$R$4:$W$4,0))))</f>
        <v>519.02131832689781</v>
      </c>
      <c r="S208" s="168">
        <f ca="1">IF($C208-S$1&lt;År1,0,R207*(1-VLOOKUP($A208,[1]Hugst!$R$5:$W$9,MATCH(ROUNDUP((S$1)/10,0)*10,[1]Hugst!$R$4:$W$4,0))))</f>
        <v>520.48442536470452</v>
      </c>
      <c r="T208" s="168">
        <f ca="1">IF($C208-T$1&lt;År1,0,S207*(1-VLOOKUP($A208,[1]Hugst!$R$5:$W$9,MATCH(ROUNDUP((T$1)/10,0)*10,[1]Hugst!$R$4:$W$4,0))))</f>
        <v>521.95165686162238</v>
      </c>
      <c r="U208" s="168">
        <f ca="1">IF($C208-U$1&lt;År1,0,T207*(1-VLOOKUP($A208,[1]Hugst!$R$5:$W$9,MATCH(ROUNDUP((U$1)/10,0)*10,[1]Hugst!$R$4:$W$4,0))))</f>
        <v>523.42302444438894</v>
      </c>
      <c r="V208" s="168">
        <f ca="1">IF($C208-V$1&lt;År1,0,U207*(1-VLOOKUP($A208,[1]Hugst!$R$5:$W$9,MATCH(ROUNDUP((V$1)/10,0)*10,[1]Hugst!$R$4:$W$4,0))))</f>
        <v>524.89853977252255</v>
      </c>
      <c r="W208" s="168">
        <f ca="1">IF($C208-W$1&lt;År1,0,V207*(1-VLOOKUP($A208,[1]Hugst!$R$5:$W$9,MATCH(ROUNDUP((W$1)/10,0)*10,[1]Hugst!$R$4:$W$4,0))))</f>
        <v>526.3782145383982</v>
      </c>
      <c r="X208" s="168">
        <f ca="1">IF($C208-X$1&lt;År1,0,W207*(1-VLOOKUP($A208,[1]Hugst!$R$5:$W$9,MATCH(ROUNDUP((X$1)/10,0)*10,[1]Hugst!$R$4:$W$4,0))))</f>
        <v>527.86206046736072</v>
      </c>
      <c r="Y208" s="168">
        <f ca="1">IF($C208-Y$1&lt;År1,0,X207*(1-VLOOKUP($A208,[1]Hugst!$R$5:$W$9,MATCH(ROUNDUP((Y$1)/10,0)*10,[1]Hugst!$R$4:$W$4,0))))</f>
        <v>529.35008931778657</v>
      </c>
      <c r="Z208" s="168">
        <f ca="1">IF($C208-Z$1&lt;År1,0,Y207*(1-VLOOKUP($A208,[1]Hugst!$R$5:$W$9,MATCH(ROUNDUP((Z$1)/10,0)*10,[1]Hugst!$R$4:$W$4,0))))</f>
        <v>531.3613471642085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177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489.49513278326776</v>
      </c>
      <c r="E209" s="168">
        <f t="shared" ca="1" si="4"/>
        <v>12.74312166312302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502.23825444639078</v>
      </c>
      <c r="G209" s="168">
        <f ca="1">IF($C209-G$1&lt;År1,0,F208*(1-VLOOKUP($A209,[1]Hugst!$R$5:$W$9,MATCH(ROUNDUP((G$1)/10,0)*10,[1]Hugst!$R$4:$W$4,0))))</f>
        <v>504.10555110188943</v>
      </c>
      <c r="H209" s="168">
        <f ca="1">IF($C209-H$1&lt;År1,0,G208*(1-VLOOKUP($A209,[1]Hugst!$R$5:$W$9,MATCH(ROUNDUP((H$1)/10,0)*10,[1]Hugst!$R$4:$W$4,0))))</f>
        <v>505.98405805765469</v>
      </c>
      <c r="I209" s="168">
        <f ca="1">IF($C209-I$1&lt;År1,0,H208*(1-VLOOKUP($A209,[1]Hugst!$R$5:$W$9,MATCH(ROUNDUP((I$1)/10,0)*10,[1]Hugst!$R$4:$W$4,0))))</f>
        <v>507.35041382758209</v>
      </c>
      <c r="J209" s="168">
        <f ca="1">IF($C209-J$1&lt;År1,0,I208*(1-VLOOKUP($A209,[1]Hugst!$R$5:$W$9,MATCH(ROUNDUP((J$1)/10,0)*10,[1]Hugst!$R$4:$W$4,0))))</f>
        <v>508.72104795346422</v>
      </c>
      <c r="K209" s="168">
        <f ca="1">IF($C209-K$1&lt;År1,0,J208*(1-VLOOKUP($A209,[1]Hugst!$R$5:$W$9,MATCH(ROUNDUP((K$1)/10,0)*10,[1]Hugst!$R$4:$W$4,0))))</f>
        <v>510.0959762416951</v>
      </c>
      <c r="L209" s="168">
        <f ca="1">IF($C209-L$1&lt;År1,0,K208*(1-VLOOKUP($A209,[1]Hugst!$R$5:$W$9,MATCH(ROUNDUP((L$1)/10,0)*10,[1]Hugst!$R$4:$W$4,0))))</f>
        <v>511.47521456551203</v>
      </c>
      <c r="M209" s="168">
        <f ca="1">IF($C209-M$1&lt;År1,0,L208*(1-VLOOKUP($A209,[1]Hugst!$R$5:$W$9,MATCH(ROUNDUP((M$1)/10,0)*10,[1]Hugst!$R$4:$W$4,0))))</f>
        <v>512.85877886536309</v>
      </c>
      <c r="N209" s="168">
        <f ca="1">IF($C209-N$1&lt;År1,0,M208*(1-VLOOKUP($A209,[1]Hugst!$R$5:$W$9,MATCH(ROUNDUP((N$1)/10,0)*10,[1]Hugst!$R$4:$W$4,0))))</f>
        <v>514.24668514925906</v>
      </c>
      <c r="O209" s="168">
        <f ca="1">IF($C209-O$1&lt;År1,0,N208*(1-VLOOKUP($A209,[1]Hugst!$R$5:$W$9,MATCH(ROUNDUP((O$1)/10,0)*10,[1]Hugst!$R$4:$W$4,0))))</f>
        <v>515.63894949302448</v>
      </c>
      <c r="P209" s="168">
        <f ca="1">IF($C209-P$1&lt;År1,0,O208*(1-VLOOKUP($A209,[1]Hugst!$R$5:$W$9,MATCH(ROUNDUP((P$1)/10,0)*10,[1]Hugst!$R$4:$W$4,0))))</f>
        <v>515.90063187170915</v>
      </c>
      <c r="Q209" s="168">
        <f ca="1">IF($C209-Q$1&lt;År1,0,P208*(1-VLOOKUP($A209,[1]Hugst!$R$5:$W$9,MATCH(ROUNDUP((Q$1)/10,0)*10,[1]Hugst!$R$4:$W$4,0))))</f>
        <v>516.16305192599259</v>
      </c>
      <c r="R209" s="168">
        <f ca="1">IF($C209-R$1&lt;År1,0,Q208*(1-VLOOKUP($A209,[1]Hugst!$R$5:$W$9,MATCH(ROUNDUP((R$1)/10,0)*10,[1]Hugst!$R$4:$W$4,0))))</f>
        <v>516.42621173523992</v>
      </c>
      <c r="S209" s="168">
        <f ca="1">IF($C209-S$1&lt;År1,0,R208*(1-VLOOKUP($A209,[1]Hugst!$R$5:$W$9,MATCH(ROUNDUP((S$1)/10,0)*10,[1]Hugst!$R$4:$W$4,0))))</f>
        <v>517.8820032378876</v>
      </c>
      <c r="T209" s="168">
        <f ca="1">IF($C209-T$1&lt;År1,0,S208*(1-VLOOKUP($A209,[1]Hugst!$R$5:$W$9,MATCH(ROUNDUP((T$1)/10,0)*10,[1]Hugst!$R$4:$W$4,0))))</f>
        <v>519.3418985773186</v>
      </c>
      <c r="U209" s="168">
        <f ca="1">IF($C209-U$1&lt;År1,0,T208*(1-VLOOKUP($A209,[1]Hugst!$R$5:$W$9,MATCH(ROUNDUP((U$1)/10,0)*10,[1]Hugst!$R$4:$W$4,0))))</f>
        <v>520.80590932217001</v>
      </c>
      <c r="V209" s="168">
        <f ca="1">IF($C209-V$1&lt;År1,0,U208*(1-VLOOKUP($A209,[1]Hugst!$R$5:$W$9,MATCH(ROUNDUP((V$1)/10,0)*10,[1]Hugst!$R$4:$W$4,0))))</f>
        <v>522.27404707365736</v>
      </c>
      <c r="W209" s="168">
        <f ca="1">IF($C209-W$1&lt;År1,0,V208*(1-VLOOKUP($A209,[1]Hugst!$R$5:$W$9,MATCH(ROUNDUP((W$1)/10,0)*10,[1]Hugst!$R$4:$W$4,0))))</f>
        <v>523.74632346570479</v>
      </c>
      <c r="X209" s="168">
        <f ca="1">IF($C209-X$1&lt;År1,0,W208*(1-VLOOKUP($A209,[1]Hugst!$R$5:$W$9,MATCH(ROUNDUP((X$1)/10,0)*10,[1]Hugst!$R$4:$W$4,0))))</f>
        <v>525.22275016502124</v>
      </c>
      <c r="Y209" s="168">
        <f ca="1">IF($C209-Y$1&lt;År1,0,X208*(1-VLOOKUP($A209,[1]Hugst!$R$5:$W$9,MATCH(ROUNDUP((Y$1)/10,0)*10,[1]Hugst!$R$4:$W$4,0))))</f>
        <v>526.70333887121285</v>
      </c>
      <c r="Z209" s="168">
        <f ca="1">IF($C209-Z$1&lt;År1,0,Y208*(1-VLOOKUP($A209,[1]Hugst!$R$5:$W$9,MATCH(ROUNDUP((Z$1)/10,0)*10,[1]Hugst!$R$4:$W$4,0))))</f>
        <v>528.70454042837468</v>
      </c>
      <c r="AA209" s="168">
        <f ca="1">IF($C209-AA$1&lt;År1,0,Z208*(1-VLOOKUP($A209,[1]Hugst!$R$5:$W$9,MATCH(ROUNDUP((AA$1)/10,0)*10,[1]Hugst!$R$4:$W$4,0))))</f>
        <v>530.71334552132532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177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487.04765711934306</v>
      </c>
      <c r="E210" s="168">
        <f t="shared" ca="1" si="4"/>
        <v>13.334444418513158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500.38210153785622</v>
      </c>
      <c r="G210" s="168">
        <f ca="1">IF($C210-G$1&lt;År1,0,F209*(1-VLOOKUP($A210,[1]Hugst!$R$5:$W$9,MATCH(ROUNDUP((G$1)/10,0)*10,[1]Hugst!$R$4:$W$4,0))))</f>
        <v>502.23825444639078</v>
      </c>
      <c r="H210" s="168">
        <f ca="1">IF($C210-H$1&lt;År1,0,G209*(1-VLOOKUP($A210,[1]Hugst!$R$5:$W$9,MATCH(ROUNDUP((H$1)/10,0)*10,[1]Hugst!$R$4:$W$4,0))))</f>
        <v>504.10555110188943</v>
      </c>
      <c r="I210" s="168">
        <f ca="1">IF($C210-I$1&lt;År1,0,H209*(1-VLOOKUP($A210,[1]Hugst!$R$5:$W$9,MATCH(ROUNDUP((I$1)/10,0)*10,[1]Hugst!$R$4:$W$4,0))))</f>
        <v>505.98405805765469</v>
      </c>
      <c r="J210" s="168">
        <f ca="1">IF($C210-J$1&lt;År1,0,I209*(1-VLOOKUP($A210,[1]Hugst!$R$5:$W$9,MATCH(ROUNDUP((J$1)/10,0)*10,[1]Hugst!$R$4:$W$4,0))))</f>
        <v>507.35041382758209</v>
      </c>
      <c r="K210" s="168">
        <f ca="1">IF($C210-K$1&lt;År1,0,J209*(1-VLOOKUP($A210,[1]Hugst!$R$5:$W$9,MATCH(ROUNDUP((K$1)/10,0)*10,[1]Hugst!$R$4:$W$4,0))))</f>
        <v>508.72104795346422</v>
      </c>
      <c r="L210" s="168">
        <f ca="1">IF($C210-L$1&lt;År1,0,K209*(1-VLOOKUP($A210,[1]Hugst!$R$5:$W$9,MATCH(ROUNDUP((L$1)/10,0)*10,[1]Hugst!$R$4:$W$4,0))))</f>
        <v>510.0959762416951</v>
      </c>
      <c r="M210" s="168">
        <f ca="1">IF($C210-M$1&lt;År1,0,L209*(1-VLOOKUP($A210,[1]Hugst!$R$5:$W$9,MATCH(ROUNDUP((M$1)/10,0)*10,[1]Hugst!$R$4:$W$4,0))))</f>
        <v>511.47521456551203</v>
      </c>
      <c r="N210" s="168">
        <f ca="1">IF($C210-N$1&lt;År1,0,M209*(1-VLOOKUP($A210,[1]Hugst!$R$5:$W$9,MATCH(ROUNDUP((N$1)/10,0)*10,[1]Hugst!$R$4:$W$4,0))))</f>
        <v>512.85877886536309</v>
      </c>
      <c r="O210" s="168">
        <f ca="1">IF($C210-O$1&lt;År1,0,N209*(1-VLOOKUP($A210,[1]Hugst!$R$5:$W$9,MATCH(ROUNDUP((O$1)/10,0)*10,[1]Hugst!$R$4:$W$4,0))))</f>
        <v>514.24668514925906</v>
      </c>
      <c r="P210" s="168">
        <f ca="1">IF($C210-P$1&lt;År1,0,O209*(1-VLOOKUP($A210,[1]Hugst!$R$5:$W$9,MATCH(ROUNDUP((P$1)/10,0)*10,[1]Hugst!$R$4:$W$4,0))))</f>
        <v>514.50705911608861</v>
      </c>
      <c r="Q210" s="168">
        <f ca="1">IF($C210-Q$1&lt;År1,0,P209*(1-VLOOKUP($A210,[1]Hugst!$R$5:$W$9,MATCH(ROUNDUP((Q$1)/10,0)*10,[1]Hugst!$R$4:$W$4,0))))</f>
        <v>514.76816707003957</v>
      </c>
      <c r="R210" s="168">
        <f ca="1">IF($C210-R$1&lt;År1,0,Q209*(1-VLOOKUP($A210,[1]Hugst!$R$5:$W$9,MATCH(ROUNDUP((R$1)/10,0)*10,[1]Hugst!$R$4:$W$4,0))))</f>
        <v>515.03001108030139</v>
      </c>
      <c r="S210" s="168">
        <f ca="1">IF($C210-S$1&lt;År1,0,R209*(1-VLOOKUP($A210,[1]Hugst!$R$5:$W$9,MATCH(ROUNDUP((S$1)/10,0)*10,[1]Hugst!$R$4:$W$4,0))))</f>
        <v>515.29259322167479</v>
      </c>
      <c r="T210" s="168">
        <f ca="1">IF($C210-T$1&lt;År1,0,S209*(1-VLOOKUP($A210,[1]Hugst!$R$5:$W$9,MATCH(ROUNDUP((T$1)/10,0)*10,[1]Hugst!$R$4:$W$4,0))))</f>
        <v>516.74518908443861</v>
      </c>
      <c r="U210" s="168">
        <f ca="1">IF($C210-U$1&lt;År1,0,T209*(1-VLOOKUP($A210,[1]Hugst!$R$5:$W$9,MATCH(ROUNDUP((U$1)/10,0)*10,[1]Hugst!$R$4:$W$4,0))))</f>
        <v>518.2018797755635</v>
      </c>
      <c r="V210" s="168">
        <f ca="1">IF($C210-V$1&lt;År1,0,U209*(1-VLOOKUP($A210,[1]Hugst!$R$5:$W$9,MATCH(ROUNDUP((V$1)/10,0)*10,[1]Hugst!$R$4:$W$4,0))))</f>
        <v>519.6626768382921</v>
      </c>
      <c r="W210" s="168">
        <f ca="1">IF($C210-W$1&lt;År1,0,V209*(1-VLOOKUP($A210,[1]Hugst!$R$5:$W$9,MATCH(ROUNDUP((W$1)/10,0)*10,[1]Hugst!$R$4:$W$4,0))))</f>
        <v>521.12759184837375</v>
      </c>
      <c r="X210" s="168">
        <f ca="1">IF($C210-X$1&lt;År1,0,W209*(1-VLOOKUP($A210,[1]Hugst!$R$5:$W$9,MATCH(ROUNDUP((X$1)/10,0)*10,[1]Hugst!$R$4:$W$4,0))))</f>
        <v>522.59663641419468</v>
      </c>
      <c r="Y210" s="168">
        <f ca="1">IF($C210-Y$1&lt;År1,0,X209*(1-VLOOKUP($A210,[1]Hugst!$R$5:$W$9,MATCH(ROUNDUP((Y$1)/10,0)*10,[1]Hugst!$R$4:$W$4,0))))</f>
        <v>524.06982217685413</v>
      </c>
      <c r="Z210" s="168">
        <f ca="1">IF($C210-Z$1&lt;År1,0,Y209*(1-VLOOKUP($A210,[1]Hugst!$R$5:$W$9,MATCH(ROUNDUP((Z$1)/10,0)*10,[1]Hugst!$R$4:$W$4,0))))</f>
        <v>526.061017726248</v>
      </c>
      <c r="AA210" s="168">
        <f ca="1">IF($C210-AA$1&lt;År1,0,Z209*(1-VLOOKUP($A210,[1]Hugst!$R$5:$W$9,MATCH(ROUNDUP((AA$1)/10,0)*10,[1]Hugst!$R$4:$W$4,0))))</f>
        <v>528.05977879370596</v>
      </c>
      <c r="AB210" s="168">
        <f ca="1">IF($C210-AB$1&lt;År1,0,AA209*(1-VLOOKUP($A210,[1]Hugst!$R$5:$W$9,MATCH(ROUNDUP((AB$1)/10,0)*10,[1]Hugst!$R$4:$W$4,0))))</f>
        <v>530.06613412434808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177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484.61241883374169</v>
      </c>
      <c r="E211" s="168">
        <f t="shared" ca="1" si="4"/>
        <v>13.92460735865825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498.53702619239994</v>
      </c>
      <c r="G211" s="168">
        <f ca="1">IF($C211-G$1&lt;År1,0,F210*(1-VLOOKUP($A211,[1]Hugst!$R$5:$W$9,MATCH(ROUNDUP((G$1)/10,0)*10,[1]Hugst!$R$4:$W$4,0))))</f>
        <v>500.38210153785622</v>
      </c>
      <c r="H211" s="168">
        <f ca="1">IF($C211-H$1&lt;År1,0,G210*(1-VLOOKUP($A211,[1]Hugst!$R$5:$W$9,MATCH(ROUNDUP((H$1)/10,0)*10,[1]Hugst!$R$4:$W$4,0))))</f>
        <v>502.23825444639078</v>
      </c>
      <c r="I211" s="168">
        <f ca="1">IF($C211-I$1&lt;År1,0,H210*(1-VLOOKUP($A211,[1]Hugst!$R$5:$W$9,MATCH(ROUNDUP((I$1)/10,0)*10,[1]Hugst!$R$4:$W$4,0))))</f>
        <v>504.10555110188943</v>
      </c>
      <c r="J211" s="168">
        <f ca="1">IF($C211-J$1&lt;År1,0,I210*(1-VLOOKUP($A211,[1]Hugst!$R$5:$W$9,MATCH(ROUNDUP((J$1)/10,0)*10,[1]Hugst!$R$4:$W$4,0))))</f>
        <v>505.98405805765469</v>
      </c>
      <c r="K211" s="168">
        <f ca="1">IF($C211-K$1&lt;År1,0,J210*(1-VLOOKUP($A211,[1]Hugst!$R$5:$W$9,MATCH(ROUNDUP((K$1)/10,0)*10,[1]Hugst!$R$4:$W$4,0))))</f>
        <v>507.35041382758209</v>
      </c>
      <c r="L211" s="168">
        <f ca="1">IF($C211-L$1&lt;År1,0,K210*(1-VLOOKUP($A211,[1]Hugst!$R$5:$W$9,MATCH(ROUNDUP((L$1)/10,0)*10,[1]Hugst!$R$4:$W$4,0))))</f>
        <v>508.72104795346422</v>
      </c>
      <c r="M211" s="168">
        <f ca="1">IF($C211-M$1&lt;År1,0,L210*(1-VLOOKUP($A211,[1]Hugst!$R$5:$W$9,MATCH(ROUNDUP((M$1)/10,0)*10,[1]Hugst!$R$4:$W$4,0))))</f>
        <v>510.0959762416951</v>
      </c>
      <c r="N211" s="168">
        <f ca="1">IF($C211-N$1&lt;År1,0,M210*(1-VLOOKUP($A211,[1]Hugst!$R$5:$W$9,MATCH(ROUNDUP((N$1)/10,0)*10,[1]Hugst!$R$4:$W$4,0))))</f>
        <v>511.47521456551203</v>
      </c>
      <c r="O211" s="168">
        <f ca="1">IF($C211-O$1&lt;År1,0,N210*(1-VLOOKUP($A211,[1]Hugst!$R$5:$W$9,MATCH(ROUNDUP((O$1)/10,0)*10,[1]Hugst!$R$4:$W$4,0))))</f>
        <v>512.85877886536309</v>
      </c>
      <c r="P211" s="168">
        <f ca="1">IF($C211-P$1&lt;År1,0,O210*(1-VLOOKUP($A211,[1]Hugst!$R$5:$W$9,MATCH(ROUNDUP((P$1)/10,0)*10,[1]Hugst!$R$4:$W$4,0))))</f>
        <v>513.1178509623461</v>
      </c>
      <c r="Q211" s="168">
        <f ca="1">IF($C211-Q$1&lt;År1,0,P210*(1-VLOOKUP($A211,[1]Hugst!$R$5:$W$9,MATCH(ROUNDUP((Q$1)/10,0)*10,[1]Hugst!$R$4:$W$4,0))))</f>
        <v>513.37765337656549</v>
      </c>
      <c r="R211" s="168">
        <f ca="1">IF($C211-R$1&lt;År1,0,Q210*(1-VLOOKUP($A211,[1]Hugst!$R$5:$W$9,MATCH(ROUNDUP((R$1)/10,0)*10,[1]Hugst!$R$4:$W$4,0))))</f>
        <v>513.63818816671505</v>
      </c>
      <c r="S211" s="168">
        <f ca="1">IF($C211-S$1&lt;År1,0,R210*(1-VLOOKUP($A211,[1]Hugst!$R$5:$W$9,MATCH(ROUNDUP((S$1)/10,0)*10,[1]Hugst!$R$4:$W$4,0))))</f>
        <v>513.89945739744223</v>
      </c>
      <c r="T211" s="168">
        <f ca="1">IF($C211-T$1&lt;År1,0,S210*(1-VLOOKUP($A211,[1]Hugst!$R$5:$W$9,MATCH(ROUNDUP((T$1)/10,0)*10,[1]Hugst!$R$4:$W$4,0))))</f>
        <v>514.1614631389931</v>
      </c>
      <c r="U211" s="168">
        <f ca="1">IF($C211-U$1&lt;År1,0,T210*(1-VLOOKUP($A211,[1]Hugst!$R$5:$W$9,MATCH(ROUNDUP((U$1)/10,0)*10,[1]Hugst!$R$4:$W$4,0))))</f>
        <v>515.61087037669233</v>
      </c>
      <c r="V211" s="168">
        <f ca="1">IF($C211-V$1&lt;År1,0,U210*(1-VLOOKUP($A211,[1]Hugst!$R$5:$W$9,MATCH(ROUNDUP((V$1)/10,0)*10,[1]Hugst!$R$4:$W$4,0))))</f>
        <v>517.06436345410498</v>
      </c>
      <c r="W211" s="168">
        <f ca="1">IF($C211-W$1&lt;År1,0,V210*(1-VLOOKUP($A211,[1]Hugst!$R$5:$W$9,MATCH(ROUNDUP((W$1)/10,0)*10,[1]Hugst!$R$4:$W$4,0))))</f>
        <v>518.52195388913492</v>
      </c>
      <c r="X211" s="168">
        <f ca="1">IF($C211-X$1&lt;År1,0,W210*(1-VLOOKUP($A211,[1]Hugst!$R$5:$W$9,MATCH(ROUNDUP((X$1)/10,0)*10,[1]Hugst!$R$4:$W$4,0))))</f>
        <v>519.98365323212124</v>
      </c>
      <c r="Y211" s="168">
        <f ca="1">IF($C211-Y$1&lt;År1,0,X210*(1-VLOOKUP($A211,[1]Hugst!$R$5:$W$9,MATCH(ROUNDUP((Y$1)/10,0)*10,[1]Hugst!$R$4:$W$4,0))))</f>
        <v>521.44947306596839</v>
      </c>
      <c r="Z211" s="168">
        <f ca="1">IF($C211-Z$1&lt;År1,0,Y210*(1-VLOOKUP($A211,[1]Hugst!$R$5:$W$9,MATCH(ROUNDUP((Z$1)/10,0)*10,[1]Hugst!$R$4:$W$4,0))))</f>
        <v>523.43071263761408</v>
      </c>
      <c r="AA211" s="168">
        <f ca="1">IF($C211-AA$1&lt;År1,0,Z210*(1-VLOOKUP($A211,[1]Hugst!$R$5:$W$9,MATCH(ROUNDUP((AA$1)/10,0)*10,[1]Hugst!$R$4:$W$4,0))))</f>
        <v>525.41947989975256</v>
      </c>
      <c r="AB211" s="168">
        <f ca="1">IF($C211-AB$1&lt;År1,0,AA210*(1-VLOOKUP($A211,[1]Hugst!$R$5:$W$9,MATCH(ROUNDUP((AB$1)/10,0)*10,[1]Hugst!$R$4:$W$4,0))))</f>
        <v>527.41580345371358</v>
      </c>
      <c r="AC211" s="168">
        <f ca="1">IF($C211-AC$1&lt;År1,0,AB210*(1-VLOOKUP($A211,[1]Hugst!$R$5:$W$9,MATCH(ROUNDUP((AC$1)/10,0)*10,[1]Hugst!$R$4:$W$4,0))))</f>
        <v>529.41971200956232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177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482.18935673957458</v>
      </c>
      <c r="E212" s="168">
        <f t="shared" ca="1" si="4"/>
        <v>14.513605853917397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496.70296259349197</v>
      </c>
      <c r="G212" s="168">
        <f ca="1">IF($C212-G$1&lt;År1,0,F211*(1-VLOOKUP($A212,[1]Hugst!$R$5:$W$9,MATCH(ROUNDUP((G$1)/10,0)*10,[1]Hugst!$R$4:$W$4,0))))</f>
        <v>498.53702619239994</v>
      </c>
      <c r="H212" s="168">
        <f ca="1">IF($C212-H$1&lt;År1,0,G211*(1-VLOOKUP($A212,[1]Hugst!$R$5:$W$9,MATCH(ROUNDUP((H$1)/10,0)*10,[1]Hugst!$R$4:$W$4,0))))</f>
        <v>500.38210153785622</v>
      </c>
      <c r="I212" s="168">
        <f ca="1">IF($C212-I$1&lt;År1,0,H211*(1-VLOOKUP($A212,[1]Hugst!$R$5:$W$9,MATCH(ROUNDUP((I$1)/10,0)*10,[1]Hugst!$R$4:$W$4,0))))</f>
        <v>502.23825444639078</v>
      </c>
      <c r="J212" s="168">
        <f ca="1">IF($C212-J$1&lt;År1,0,I211*(1-VLOOKUP($A212,[1]Hugst!$R$5:$W$9,MATCH(ROUNDUP((J$1)/10,0)*10,[1]Hugst!$R$4:$W$4,0))))</f>
        <v>504.10555110188943</v>
      </c>
      <c r="K212" s="168">
        <f ca="1">IF($C212-K$1&lt;År1,0,J211*(1-VLOOKUP($A212,[1]Hugst!$R$5:$W$9,MATCH(ROUNDUP((K$1)/10,0)*10,[1]Hugst!$R$4:$W$4,0))))</f>
        <v>505.98405805765469</v>
      </c>
      <c r="L212" s="168">
        <f ca="1">IF($C212-L$1&lt;År1,0,K211*(1-VLOOKUP($A212,[1]Hugst!$R$5:$W$9,MATCH(ROUNDUP((L$1)/10,0)*10,[1]Hugst!$R$4:$W$4,0))))</f>
        <v>507.35041382758209</v>
      </c>
      <c r="M212" s="168">
        <f ca="1">IF($C212-M$1&lt;År1,0,L211*(1-VLOOKUP($A212,[1]Hugst!$R$5:$W$9,MATCH(ROUNDUP((M$1)/10,0)*10,[1]Hugst!$R$4:$W$4,0))))</f>
        <v>508.72104795346422</v>
      </c>
      <c r="N212" s="168">
        <f ca="1">IF($C212-N$1&lt;År1,0,M211*(1-VLOOKUP($A212,[1]Hugst!$R$5:$W$9,MATCH(ROUNDUP((N$1)/10,0)*10,[1]Hugst!$R$4:$W$4,0))))</f>
        <v>510.0959762416951</v>
      </c>
      <c r="O212" s="168">
        <f ca="1">IF($C212-O$1&lt;År1,0,N211*(1-VLOOKUP($A212,[1]Hugst!$R$5:$W$9,MATCH(ROUNDUP((O$1)/10,0)*10,[1]Hugst!$R$4:$W$4,0))))</f>
        <v>511.47521456551203</v>
      </c>
      <c r="P212" s="168">
        <f ca="1">IF($C212-P$1&lt;År1,0,O211*(1-VLOOKUP($A212,[1]Hugst!$R$5:$W$9,MATCH(ROUNDUP((P$1)/10,0)*10,[1]Hugst!$R$4:$W$4,0))))</f>
        <v>511.73299130200007</v>
      </c>
      <c r="Q212" s="168">
        <f ca="1">IF($C212-Q$1&lt;År1,0,P211*(1-VLOOKUP($A212,[1]Hugst!$R$5:$W$9,MATCH(ROUNDUP((Q$1)/10,0)*10,[1]Hugst!$R$4:$W$4,0))))</f>
        <v>511.99149470413607</v>
      </c>
      <c r="R212" s="168">
        <f ca="1">IF($C212-R$1&lt;År1,0,Q211*(1-VLOOKUP($A212,[1]Hugst!$R$5:$W$9,MATCH(ROUNDUP((R$1)/10,0)*10,[1]Hugst!$R$4:$W$4,0))))</f>
        <v>512.25072682037307</v>
      </c>
      <c r="S212" s="168">
        <f ca="1">IF($C212-S$1&lt;År1,0,R211*(1-VLOOKUP($A212,[1]Hugst!$R$5:$W$9,MATCH(ROUNDUP((S$1)/10,0)*10,[1]Hugst!$R$4:$W$4,0))))</f>
        <v>512.51068970488564</v>
      </c>
      <c r="T212" s="168">
        <f ca="1">IF($C212-T$1&lt;År1,0,S211*(1-VLOOKUP($A212,[1]Hugst!$R$5:$W$9,MATCH(ROUNDUP((T$1)/10,0)*10,[1]Hugst!$R$4:$W$4,0))))</f>
        <v>512.77138541778936</v>
      </c>
      <c r="U212" s="168">
        <f ca="1">IF($C212-U$1&lt;År1,0,T211*(1-VLOOKUP($A212,[1]Hugst!$R$5:$W$9,MATCH(ROUNDUP((U$1)/10,0)*10,[1]Hugst!$R$4:$W$4,0))))</f>
        <v>513.03281602478557</v>
      </c>
      <c r="V212" s="168">
        <f ca="1">IF($C212-V$1&lt;År1,0,U211*(1-VLOOKUP($A212,[1]Hugst!$R$5:$W$9,MATCH(ROUNDUP((V$1)/10,0)*10,[1]Hugst!$R$4:$W$4,0))))</f>
        <v>514.47904163684109</v>
      </c>
      <c r="W212" s="168">
        <f ca="1">IF($C212-W$1&lt;År1,0,V211*(1-VLOOKUP($A212,[1]Hugst!$R$5:$W$9,MATCH(ROUNDUP((W$1)/10,0)*10,[1]Hugst!$R$4:$W$4,0))))</f>
        <v>515.9293441196935</v>
      </c>
      <c r="X212" s="168">
        <f ca="1">IF($C212-X$1&lt;År1,0,W211*(1-VLOOKUP($A212,[1]Hugst!$R$5:$W$9,MATCH(ROUNDUP((X$1)/10,0)*10,[1]Hugst!$R$4:$W$4,0))))</f>
        <v>517.38373496596364</v>
      </c>
      <c r="Y212" s="168">
        <f ca="1">IF($C212-Y$1&lt;År1,0,X211*(1-VLOOKUP($A212,[1]Hugst!$R$5:$W$9,MATCH(ROUNDUP((Y$1)/10,0)*10,[1]Hugst!$R$4:$W$4,0))))</f>
        <v>518.84222570063605</v>
      </c>
      <c r="Z212" s="168">
        <f ca="1">IF($C212-Z$1&lt;År1,0,Y211*(1-VLOOKUP($A212,[1]Hugst!$R$5:$W$9,MATCH(ROUNDUP((Z$1)/10,0)*10,[1]Hugst!$R$4:$W$4,0))))</f>
        <v>520.81355907442457</v>
      </c>
      <c r="AA212" s="168">
        <f ca="1">IF($C212-AA$1&lt;År1,0,Z211*(1-VLOOKUP($A212,[1]Hugst!$R$5:$W$9,MATCH(ROUNDUP((AA$1)/10,0)*10,[1]Hugst!$R$4:$W$4,0))))</f>
        <v>522.79238250025116</v>
      </c>
      <c r="AB212" s="168">
        <f ca="1">IF($C212-AB$1&lt;År1,0,AA211*(1-VLOOKUP($A212,[1]Hugst!$R$5:$W$9,MATCH(ROUNDUP((AB$1)/10,0)*10,[1]Hugst!$R$4:$W$4,0))))</f>
        <v>524.77872443646015</v>
      </c>
      <c r="AC212" s="168">
        <f ca="1">IF($C212-AC$1&lt;År1,0,AB211*(1-VLOOKUP($A212,[1]Hugst!$R$5:$W$9,MATCH(ROUNDUP((AC$1)/10,0)*10,[1]Hugst!$R$4:$W$4,0))))</f>
        <v>526.7726134495017</v>
      </c>
      <c r="AD212" s="168">
        <f ca="1">IF($C212-AD$1&lt;År1,0,AC211*(1-VLOOKUP($A212,[1]Hugst!$R$5:$W$9,MATCH(ROUNDUP((AD$1)/10,0)*10,[1]Hugst!$R$4:$W$4,0))))</f>
        <v>528.77407821442876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177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479.77840995587758</v>
      </c>
      <c r="E213" s="168">
        <f t="shared" ca="1" si="4"/>
        <v>15.101435334201597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494.87984529007917</v>
      </c>
      <c r="G213" s="168">
        <f ca="1">IF($C213-G$1&lt;År1,0,F212*(1-VLOOKUP($A213,[1]Hugst!$R$5:$W$9,MATCH(ROUNDUP((G$1)/10,0)*10,[1]Hugst!$R$4:$W$4,0))))</f>
        <v>496.70296259349197</v>
      </c>
      <c r="H213" s="168">
        <f ca="1">IF($C213-H$1&lt;År1,0,G212*(1-VLOOKUP($A213,[1]Hugst!$R$5:$W$9,MATCH(ROUNDUP((H$1)/10,0)*10,[1]Hugst!$R$4:$W$4,0))))</f>
        <v>498.53702619239994</v>
      </c>
      <c r="I213" s="168">
        <f ca="1">IF($C213-I$1&lt;År1,0,H212*(1-VLOOKUP($A213,[1]Hugst!$R$5:$W$9,MATCH(ROUNDUP((I$1)/10,0)*10,[1]Hugst!$R$4:$W$4,0))))</f>
        <v>500.38210153785622</v>
      </c>
      <c r="J213" s="168">
        <f ca="1">IF($C213-J$1&lt;År1,0,I212*(1-VLOOKUP($A213,[1]Hugst!$R$5:$W$9,MATCH(ROUNDUP((J$1)/10,0)*10,[1]Hugst!$R$4:$W$4,0))))</f>
        <v>502.23825444639078</v>
      </c>
      <c r="K213" s="168">
        <f ca="1">IF($C213-K$1&lt;År1,0,J212*(1-VLOOKUP($A213,[1]Hugst!$R$5:$W$9,MATCH(ROUNDUP((K$1)/10,0)*10,[1]Hugst!$R$4:$W$4,0))))</f>
        <v>504.10555110188943</v>
      </c>
      <c r="L213" s="168">
        <f ca="1">IF($C213-L$1&lt;År1,0,K212*(1-VLOOKUP($A213,[1]Hugst!$R$5:$W$9,MATCH(ROUNDUP((L$1)/10,0)*10,[1]Hugst!$R$4:$W$4,0))))</f>
        <v>505.98405805765469</v>
      </c>
      <c r="M213" s="168">
        <f ca="1">IF($C213-M$1&lt;År1,0,L212*(1-VLOOKUP($A213,[1]Hugst!$R$5:$W$9,MATCH(ROUNDUP((M$1)/10,0)*10,[1]Hugst!$R$4:$W$4,0))))</f>
        <v>507.35041382758209</v>
      </c>
      <c r="N213" s="168">
        <f ca="1">IF($C213-N$1&lt;År1,0,M212*(1-VLOOKUP($A213,[1]Hugst!$R$5:$W$9,MATCH(ROUNDUP((N$1)/10,0)*10,[1]Hugst!$R$4:$W$4,0))))</f>
        <v>508.72104795346422</v>
      </c>
      <c r="O213" s="168">
        <f ca="1">IF($C213-O$1&lt;År1,0,N212*(1-VLOOKUP($A213,[1]Hugst!$R$5:$W$9,MATCH(ROUNDUP((O$1)/10,0)*10,[1]Hugst!$R$4:$W$4,0))))</f>
        <v>510.0959762416951</v>
      </c>
      <c r="P213" s="168">
        <f ca="1">IF($C213-P$1&lt;År1,0,O212*(1-VLOOKUP($A213,[1]Hugst!$R$5:$W$9,MATCH(ROUNDUP((P$1)/10,0)*10,[1]Hugst!$R$4:$W$4,0))))</f>
        <v>510.35246409451457</v>
      </c>
      <c r="Q213" s="168">
        <f ca="1">IF($C213-Q$1&lt;År1,0,P212*(1-VLOOKUP($A213,[1]Hugst!$R$5:$W$9,MATCH(ROUNDUP((Q$1)/10,0)*10,[1]Hugst!$R$4:$W$4,0))))</f>
        <v>510.6096749796298</v>
      </c>
      <c r="R213" s="168">
        <f ca="1">IF($C213-R$1&lt;År1,0,Q212*(1-VLOOKUP($A213,[1]Hugst!$R$5:$W$9,MATCH(ROUNDUP((R$1)/10,0)*10,[1]Hugst!$R$4:$W$4,0))))</f>
        <v>510.86761093527332</v>
      </c>
      <c r="S213" s="168">
        <f ca="1">IF($C213-S$1&lt;År1,0,R212*(1-VLOOKUP($A213,[1]Hugst!$R$5:$W$9,MATCH(ROUNDUP((S$1)/10,0)*10,[1]Hugst!$R$4:$W$4,0))))</f>
        <v>511.12627400540151</v>
      </c>
      <c r="T213" s="168">
        <f ca="1">IF($C213-T$1&lt;År1,0,S212*(1-VLOOKUP($A213,[1]Hugst!$R$5:$W$9,MATCH(ROUNDUP((T$1)/10,0)*10,[1]Hugst!$R$4:$W$4,0))))</f>
        <v>511.38566623967978</v>
      </c>
      <c r="U213" s="168">
        <f ca="1">IF($C213-U$1&lt;År1,0,T212*(1-VLOOKUP($A213,[1]Hugst!$R$5:$W$9,MATCH(ROUNDUP((U$1)/10,0)*10,[1]Hugst!$R$4:$W$4,0))))</f>
        <v>511.64578969370154</v>
      </c>
      <c r="V213" s="168">
        <f ca="1">IF($C213-V$1&lt;År1,0,U212*(1-VLOOKUP($A213,[1]Hugst!$R$5:$W$9,MATCH(ROUNDUP((V$1)/10,0)*10,[1]Hugst!$R$4:$W$4,0))))</f>
        <v>511.90664642863362</v>
      </c>
      <c r="W213" s="168">
        <f ca="1">IF($C213-W$1&lt;År1,0,V212*(1-VLOOKUP($A213,[1]Hugst!$R$5:$W$9,MATCH(ROUNDUP((W$1)/10,0)*10,[1]Hugst!$R$4:$W$4,0))))</f>
        <v>513.34969739910173</v>
      </c>
      <c r="X213" s="168">
        <f ca="1">IF($C213-X$1&lt;År1,0,W212*(1-VLOOKUP($A213,[1]Hugst!$R$5:$W$9,MATCH(ROUNDUP((X$1)/10,0)*10,[1]Hugst!$R$4:$W$4,0))))</f>
        <v>514.79681629113804</v>
      </c>
      <c r="Y213" s="168">
        <f ca="1">IF($C213-Y$1&lt;År1,0,X212*(1-VLOOKUP($A213,[1]Hugst!$R$5:$W$9,MATCH(ROUNDUP((Y$1)/10,0)*10,[1]Hugst!$R$4:$W$4,0))))</f>
        <v>516.24801457213596</v>
      </c>
      <c r="Z213" s="168">
        <f ca="1">IF($C213-Z$1&lt;År1,0,Y212*(1-VLOOKUP($A213,[1]Hugst!$R$5:$W$9,MATCH(ROUNDUP((Z$1)/10,0)*10,[1]Hugst!$R$4:$W$4,0))))</f>
        <v>518.20949127904987</v>
      </c>
      <c r="AA213" s="168">
        <f ca="1">IF($C213-AA$1&lt;År1,0,Z212*(1-VLOOKUP($A213,[1]Hugst!$R$5:$W$9,MATCH(ROUNDUP((AA$1)/10,0)*10,[1]Hugst!$R$4:$W$4,0))))</f>
        <v>520.17842058774841</v>
      </c>
      <c r="AB213" s="168">
        <f ca="1">IF($C213-AB$1&lt;År1,0,AA212*(1-VLOOKUP($A213,[1]Hugst!$R$5:$W$9,MATCH(ROUNDUP((AB$1)/10,0)*10,[1]Hugst!$R$4:$W$4,0))))</f>
        <v>522.15483081427521</v>
      </c>
      <c r="AC213" s="168">
        <f ca="1">IF($C213-AC$1&lt;År1,0,AB212*(1-VLOOKUP($A213,[1]Hugst!$R$5:$W$9,MATCH(ROUNDUP((AC$1)/10,0)*10,[1]Hugst!$R$4:$W$4,0))))</f>
        <v>524.13875038226934</v>
      </c>
      <c r="AD213" s="168">
        <f ca="1">IF($C213-AD$1&lt;År1,0,AC212*(1-VLOOKUP($A213,[1]Hugst!$R$5:$W$9,MATCH(ROUNDUP((AD$1)/10,0)*10,[1]Hugst!$R$4:$W$4,0))))</f>
        <v>526.13020782334377</v>
      </c>
      <c r="AE213" s="168">
        <f ca="1">IF($C213-AE$1&lt;År1,0,AD212*(1-VLOOKUP($A213,[1]Hugst!$R$5:$W$9,MATCH(ROUNDUP((AE$1)/10,0)*10,[1]Hugst!$R$4:$W$4,0))))</f>
        <v>528.12923177758194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177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477.3795179061126</v>
      </c>
      <c r="E214" s="168">
        <f t="shared" ca="1" si="4"/>
        <v>15.688091288533542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493.06760919464614</v>
      </c>
      <c r="G214" s="168">
        <f ca="1">IF($C214-G$1&lt;År1,0,F213*(1-VLOOKUP($A214,[1]Hugst!$R$5:$W$9,MATCH(ROUNDUP((G$1)/10,0)*10,[1]Hugst!$R$4:$W$4,0))))</f>
        <v>494.87984529007917</v>
      </c>
      <c r="H214" s="168">
        <f ca="1">IF($C214-H$1&lt;År1,0,G213*(1-VLOOKUP($A214,[1]Hugst!$R$5:$W$9,MATCH(ROUNDUP((H$1)/10,0)*10,[1]Hugst!$R$4:$W$4,0))))</f>
        <v>496.70296259349197</v>
      </c>
      <c r="I214" s="168">
        <f ca="1">IF($C214-I$1&lt;År1,0,H213*(1-VLOOKUP($A214,[1]Hugst!$R$5:$W$9,MATCH(ROUNDUP((I$1)/10,0)*10,[1]Hugst!$R$4:$W$4,0))))</f>
        <v>498.53702619239994</v>
      </c>
      <c r="J214" s="168">
        <f ca="1">IF($C214-J$1&lt;År1,0,I213*(1-VLOOKUP($A214,[1]Hugst!$R$5:$W$9,MATCH(ROUNDUP((J$1)/10,0)*10,[1]Hugst!$R$4:$W$4,0))))</f>
        <v>500.38210153785622</v>
      </c>
      <c r="K214" s="168">
        <f ca="1">IF($C214-K$1&lt;År1,0,J213*(1-VLOOKUP($A214,[1]Hugst!$R$5:$W$9,MATCH(ROUNDUP((K$1)/10,0)*10,[1]Hugst!$R$4:$W$4,0))))</f>
        <v>502.23825444639078</v>
      </c>
      <c r="L214" s="168">
        <f ca="1">IF($C214-L$1&lt;År1,0,K213*(1-VLOOKUP($A214,[1]Hugst!$R$5:$W$9,MATCH(ROUNDUP((L$1)/10,0)*10,[1]Hugst!$R$4:$W$4,0))))</f>
        <v>504.10555110188943</v>
      </c>
      <c r="M214" s="168">
        <f ca="1">IF($C214-M$1&lt;År1,0,L213*(1-VLOOKUP($A214,[1]Hugst!$R$5:$W$9,MATCH(ROUNDUP((M$1)/10,0)*10,[1]Hugst!$R$4:$W$4,0))))</f>
        <v>505.98405805765469</v>
      </c>
      <c r="N214" s="168">
        <f ca="1">IF($C214-N$1&lt;År1,0,M213*(1-VLOOKUP($A214,[1]Hugst!$R$5:$W$9,MATCH(ROUNDUP((N$1)/10,0)*10,[1]Hugst!$R$4:$W$4,0))))</f>
        <v>507.35041382758209</v>
      </c>
      <c r="O214" s="168">
        <f ca="1">IF($C214-O$1&lt;År1,0,N213*(1-VLOOKUP($A214,[1]Hugst!$R$5:$W$9,MATCH(ROUNDUP((O$1)/10,0)*10,[1]Hugst!$R$4:$W$4,0))))</f>
        <v>508.72104795346422</v>
      </c>
      <c r="P214" s="168">
        <f ca="1">IF($C214-P$1&lt;År1,0,O213*(1-VLOOKUP($A214,[1]Hugst!$R$5:$W$9,MATCH(ROUNDUP((P$1)/10,0)*10,[1]Hugst!$R$4:$W$4,0))))</f>
        <v>508.97625336701822</v>
      </c>
      <c r="Q214" s="168">
        <f ca="1">IF($C214-Q$1&lt;År1,0,P213*(1-VLOOKUP($A214,[1]Hugst!$R$5:$W$9,MATCH(ROUNDUP((Q$1)/10,0)*10,[1]Hugst!$R$4:$W$4,0))))</f>
        <v>509.23217819772174</v>
      </c>
      <c r="R214" s="168">
        <f ca="1">IF($C214-R$1&lt;År1,0,Q213*(1-VLOOKUP($A214,[1]Hugst!$R$5:$W$9,MATCH(ROUNDUP((R$1)/10,0)*10,[1]Hugst!$R$4:$W$4,0))))</f>
        <v>509.48882447357693</v>
      </c>
      <c r="S214" s="168">
        <f ca="1">IF($C214-S$1&lt;År1,0,R213*(1-VLOOKUP($A214,[1]Hugst!$R$5:$W$9,MATCH(ROUNDUP((S$1)/10,0)*10,[1]Hugst!$R$4:$W$4,0))))</f>
        <v>509.74619422834223</v>
      </c>
      <c r="T214" s="168">
        <f ca="1">IF($C214-T$1&lt;År1,0,S213*(1-VLOOKUP($A214,[1]Hugst!$R$5:$W$9,MATCH(ROUNDUP((T$1)/10,0)*10,[1]Hugst!$R$4:$W$4,0))))</f>
        <v>510.00428950148722</v>
      </c>
      <c r="U214" s="168">
        <f ca="1">IF($C214-U$1&lt;År1,0,T213*(1-VLOOKUP($A214,[1]Hugst!$R$5:$W$9,MATCH(ROUNDUP((U$1)/10,0)*10,[1]Hugst!$R$4:$W$4,0))))</f>
        <v>510.26311233817802</v>
      </c>
      <c r="V214" s="168">
        <f ca="1">IF($C214-V$1&lt;År1,0,U213*(1-VLOOKUP($A214,[1]Hugst!$R$5:$W$9,MATCH(ROUNDUP((V$1)/10,0)*10,[1]Hugst!$R$4:$W$4,0))))</f>
        <v>510.52266478949588</v>
      </c>
      <c r="W214" s="168">
        <f ca="1">IF($C214-W$1&lt;År1,0,V213*(1-VLOOKUP($A214,[1]Hugst!$R$5:$W$9,MATCH(ROUNDUP((W$1)/10,0)*10,[1]Hugst!$R$4:$W$4,0))))</f>
        <v>510.78294891208299</v>
      </c>
      <c r="X214" s="168">
        <f ca="1">IF($C214-X$1&lt;År1,0,W213*(1-VLOOKUP($A214,[1]Hugst!$R$5:$W$9,MATCH(ROUNDUP((X$1)/10,0)*10,[1]Hugst!$R$4:$W$4,0))))</f>
        <v>512.22283220968905</v>
      </c>
      <c r="Y214" s="168">
        <f ca="1">IF($C214-Y$1&lt;År1,0,X213*(1-VLOOKUP($A214,[1]Hugst!$R$5:$W$9,MATCH(ROUNDUP((Y$1)/10,0)*10,[1]Hugst!$R$4:$W$4,0))))</f>
        <v>513.66677449927943</v>
      </c>
      <c r="Z214" s="168">
        <f ca="1">IF($C214-Z$1&lt;År1,0,Y213*(1-VLOOKUP($A214,[1]Hugst!$R$5:$W$9,MATCH(ROUNDUP((Z$1)/10,0)*10,[1]Hugst!$R$4:$W$4,0))))</f>
        <v>515.6184438226577</v>
      </c>
      <c r="AA214" s="168">
        <f ca="1">IF($C214-AA$1&lt;År1,0,Z213*(1-VLOOKUP($A214,[1]Hugst!$R$5:$W$9,MATCH(ROUNDUP((AA$1)/10,0)*10,[1]Hugst!$R$4:$W$4,0))))</f>
        <v>517.57752848480709</v>
      </c>
      <c r="AB214" s="168">
        <f ca="1">IF($C214-AB$1&lt;År1,0,AA213*(1-VLOOKUP($A214,[1]Hugst!$R$5:$W$9,MATCH(ROUNDUP((AB$1)/10,0)*10,[1]Hugst!$R$4:$W$4,0))))</f>
        <v>519.54405666020239</v>
      </c>
      <c r="AC214" s="168">
        <f ca="1">IF($C214-AC$1&lt;År1,0,AB213*(1-VLOOKUP($A214,[1]Hugst!$R$5:$W$9,MATCH(ROUNDUP((AC$1)/10,0)*10,[1]Hugst!$R$4:$W$4,0))))</f>
        <v>521.51805663035532</v>
      </c>
      <c r="AD214" s="168">
        <f ca="1">IF($C214-AD$1&lt;År1,0,AC213*(1-VLOOKUP($A214,[1]Hugst!$R$5:$W$9,MATCH(ROUNDUP((AD$1)/10,0)*10,[1]Hugst!$R$4:$W$4,0))))</f>
        <v>523.49955678424215</v>
      </c>
      <c r="AE214" s="168">
        <f ca="1">IF($C214-AE$1&lt;År1,0,AD213*(1-VLOOKUP($A214,[1]Hugst!$R$5:$W$9,MATCH(ROUNDUP((AE$1)/10,0)*10,[1]Hugst!$R$4:$W$4,0))))</f>
        <v>525.4885856186811</v>
      </c>
      <c r="AF214" s="168">
        <f ca="1">IF($C214-AF$1&lt;År1,0,AE213*(1-VLOOKUP($A214,[1]Hugst!$R$5:$W$9,MATCH(ROUNDUP((AF$1)/10,0)*10,[1]Hugst!$R$4:$W$4,0))))</f>
        <v>527.48517173882874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177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474.99262031655235</v>
      </c>
      <c r="E215" s="168">
        <f t="shared" ca="1" si="4"/>
        <v>16.273569264614707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491.26618958116705</v>
      </c>
      <c r="G215" s="168">
        <f ca="1">IF($C215-G$1&lt;År1,0,F214*(1-VLOOKUP($A215,[1]Hugst!$R$5:$W$9,MATCH(ROUNDUP((G$1)/10,0)*10,[1]Hugst!$R$4:$W$4,0))))</f>
        <v>493.06760919464614</v>
      </c>
      <c r="H215" s="168">
        <f ca="1">IF($C215-H$1&lt;År1,0,G214*(1-VLOOKUP($A215,[1]Hugst!$R$5:$W$9,MATCH(ROUNDUP((H$1)/10,0)*10,[1]Hugst!$R$4:$W$4,0))))</f>
        <v>494.87984529007917</v>
      </c>
      <c r="I215" s="168">
        <f ca="1">IF($C215-I$1&lt;År1,0,H214*(1-VLOOKUP($A215,[1]Hugst!$R$5:$W$9,MATCH(ROUNDUP((I$1)/10,0)*10,[1]Hugst!$R$4:$W$4,0))))</f>
        <v>496.70296259349197</v>
      </c>
      <c r="J215" s="168">
        <f ca="1">IF($C215-J$1&lt;År1,0,I214*(1-VLOOKUP($A215,[1]Hugst!$R$5:$W$9,MATCH(ROUNDUP((J$1)/10,0)*10,[1]Hugst!$R$4:$W$4,0))))</f>
        <v>498.53702619239994</v>
      </c>
      <c r="K215" s="168">
        <f ca="1">IF($C215-K$1&lt;År1,0,J214*(1-VLOOKUP($A215,[1]Hugst!$R$5:$W$9,MATCH(ROUNDUP((K$1)/10,0)*10,[1]Hugst!$R$4:$W$4,0))))</f>
        <v>500.38210153785622</v>
      </c>
      <c r="L215" s="168">
        <f ca="1">IF($C215-L$1&lt;År1,0,K214*(1-VLOOKUP($A215,[1]Hugst!$R$5:$W$9,MATCH(ROUNDUP((L$1)/10,0)*10,[1]Hugst!$R$4:$W$4,0))))</f>
        <v>502.23825444639078</v>
      </c>
      <c r="M215" s="168">
        <f ca="1">IF($C215-M$1&lt;År1,0,L214*(1-VLOOKUP($A215,[1]Hugst!$R$5:$W$9,MATCH(ROUNDUP((M$1)/10,0)*10,[1]Hugst!$R$4:$W$4,0))))</f>
        <v>504.10555110188943</v>
      </c>
      <c r="N215" s="168">
        <f ca="1">IF($C215-N$1&lt;År1,0,M214*(1-VLOOKUP($A215,[1]Hugst!$R$5:$W$9,MATCH(ROUNDUP((N$1)/10,0)*10,[1]Hugst!$R$4:$W$4,0))))</f>
        <v>505.98405805765469</v>
      </c>
      <c r="O215" s="168">
        <f ca="1">IF($C215-O$1&lt;År1,0,N214*(1-VLOOKUP($A215,[1]Hugst!$R$5:$W$9,MATCH(ROUNDUP((O$1)/10,0)*10,[1]Hugst!$R$4:$W$4,0))))</f>
        <v>507.35041382758209</v>
      </c>
      <c r="P215" s="168">
        <f ca="1">IF($C215-P$1&lt;År1,0,O214*(1-VLOOKUP($A215,[1]Hugst!$R$5:$W$9,MATCH(ROUNDUP((P$1)/10,0)*10,[1]Hugst!$R$4:$W$4,0))))</f>
        <v>507.60434321405415</v>
      </c>
      <c r="Q215" s="168">
        <f ca="1">IF($C215-Q$1&lt;År1,0,P214*(1-VLOOKUP($A215,[1]Hugst!$R$5:$W$9,MATCH(ROUNDUP((Q$1)/10,0)*10,[1]Hugst!$R$4:$W$4,0))))</f>
        <v>507.85898842060283</v>
      </c>
      <c r="R215" s="168">
        <f ca="1">IF($C215-R$1&lt;År1,0,Q214*(1-VLOOKUP($A215,[1]Hugst!$R$5:$W$9,MATCH(ROUNDUP((R$1)/10,0)*10,[1]Hugst!$R$4:$W$4,0))))</f>
        <v>508.11435146509257</v>
      </c>
      <c r="S215" s="168">
        <f ca="1">IF($C215-S$1&lt;År1,0,R214*(1-VLOOKUP($A215,[1]Hugst!$R$5:$W$9,MATCH(ROUNDUP((S$1)/10,0)*10,[1]Hugst!$R$4:$W$4,0))))</f>
        <v>508.37043437107394</v>
      </c>
      <c r="T215" s="168">
        <f ca="1">IF($C215-T$1&lt;År1,0,S214*(1-VLOOKUP($A215,[1]Hugst!$R$5:$W$9,MATCH(ROUNDUP((T$1)/10,0)*10,[1]Hugst!$R$4:$W$4,0))))</f>
        <v>508.62723916784097</v>
      </c>
      <c r="U215" s="168">
        <f ca="1">IF($C215-U$1&lt;År1,0,T214*(1-VLOOKUP($A215,[1]Hugst!$R$5:$W$9,MATCH(ROUNDUP((U$1)/10,0)*10,[1]Hugst!$R$4:$W$4,0))))</f>
        <v>508.8847678903864</v>
      </c>
      <c r="V215" s="168">
        <f ca="1">IF($C215-V$1&lt;År1,0,U214*(1-VLOOKUP($A215,[1]Hugst!$R$5:$W$9,MATCH(ROUNDUP((V$1)/10,0)*10,[1]Hugst!$R$4:$W$4,0))))</f>
        <v>509.14302257938692</v>
      </c>
      <c r="W215" s="168">
        <f ca="1">IF($C215-W$1&lt;År1,0,V214*(1-VLOOKUP($A215,[1]Hugst!$R$5:$W$9,MATCH(ROUNDUP((W$1)/10,0)*10,[1]Hugst!$R$4:$W$4,0))))</f>
        <v>509.4020052814214</v>
      </c>
      <c r="X215" s="168">
        <f ca="1">IF($C215-X$1&lt;År1,0,W214*(1-VLOOKUP($A215,[1]Hugst!$R$5:$W$9,MATCH(ROUNDUP((X$1)/10,0)*10,[1]Hugst!$R$4:$W$4,0))))</f>
        <v>509.66171804861744</v>
      </c>
      <c r="Y215" s="168">
        <f ca="1">IF($C215-Y$1&lt;År1,0,X214*(1-VLOOKUP($A215,[1]Hugst!$R$5:$W$9,MATCH(ROUNDUP((Y$1)/10,0)*10,[1]Hugst!$R$4:$W$4,0))))</f>
        <v>511.09844062678974</v>
      </c>
      <c r="Z215" s="168">
        <f ca="1">IF($C215-Z$1&lt;År1,0,Y214*(1-VLOOKUP($A215,[1]Hugst!$R$5:$W$9,MATCH(ROUNDUP((Z$1)/10,0)*10,[1]Hugst!$R$4:$W$4,0))))</f>
        <v>513.04035160354863</v>
      </c>
      <c r="AA215" s="168">
        <f ca="1">IF($C215-AA$1&lt;År1,0,Z214*(1-VLOOKUP($A215,[1]Hugst!$R$5:$W$9,MATCH(ROUNDUP((AA$1)/10,0)*10,[1]Hugst!$R$4:$W$4,0))))</f>
        <v>514.98964084238617</v>
      </c>
      <c r="AB215" s="168">
        <f ca="1">IF($C215-AB$1&lt;År1,0,AA214*(1-VLOOKUP($A215,[1]Hugst!$R$5:$W$9,MATCH(ROUNDUP((AB$1)/10,0)*10,[1]Hugst!$R$4:$W$4,0))))</f>
        <v>516.94633637689878</v>
      </c>
      <c r="AC215" s="168">
        <f ca="1">IF($C215-AC$1&lt;År1,0,AB214*(1-VLOOKUP($A215,[1]Hugst!$R$5:$W$9,MATCH(ROUNDUP((AC$1)/10,0)*10,[1]Hugst!$R$4:$W$4,0))))</f>
        <v>518.91046634720215</v>
      </c>
      <c r="AD215" s="168">
        <f ca="1">IF($C215-AD$1&lt;År1,0,AC214*(1-VLOOKUP($A215,[1]Hugst!$R$5:$W$9,MATCH(ROUNDUP((AD$1)/10,0)*10,[1]Hugst!$R$4:$W$4,0))))</f>
        <v>520.88205900031835</v>
      </c>
      <c r="AE215" s="168">
        <f ca="1">IF($C215-AE$1&lt;År1,0,AD214*(1-VLOOKUP($A215,[1]Hugst!$R$5:$W$9,MATCH(ROUNDUP((AE$1)/10,0)*10,[1]Hugst!$R$4:$W$4,0))))</f>
        <v>522.86114269060283</v>
      </c>
      <c r="AF215" s="168">
        <f ca="1">IF($C215-AF$1&lt;År1,0,AE214*(1-VLOOKUP($A215,[1]Hugst!$R$5:$W$9,MATCH(ROUNDUP((AF$1)/10,0)*10,[1]Hugst!$R$4:$W$4,0))))</f>
        <v>524.84774588012169</v>
      </c>
      <c r="AG215" s="168">
        <f ca="1">IF($C215-AG$1&lt;År1,0,AF214*(1-VLOOKUP($A215,[1]Hugst!$R$5:$W$9,MATCH(ROUNDUP((AG$1)/10,0)*10,[1]Hugst!$R$4:$W$4,0))))</f>
        <v>526.84189713914725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177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472.61765721498523</v>
      </c>
      <c r="E216" s="168">
        <f t="shared" ca="1" si="4"/>
        <v>16.857864868517936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489.47552208350317</v>
      </c>
      <c r="G216" s="168">
        <f ca="1">IF($C216-G$1&lt;År1,0,F215*(1-VLOOKUP($A216,[1]Hugst!$R$5:$W$9,MATCH(ROUNDUP((G$1)/10,0)*10,[1]Hugst!$R$4:$W$4,0))))</f>
        <v>491.26618958116705</v>
      </c>
      <c r="H216" s="168">
        <f ca="1">IF($C216-H$1&lt;År1,0,G215*(1-VLOOKUP($A216,[1]Hugst!$R$5:$W$9,MATCH(ROUNDUP((H$1)/10,0)*10,[1]Hugst!$R$4:$W$4,0))))</f>
        <v>493.06760919464614</v>
      </c>
      <c r="I216" s="168">
        <f ca="1">IF($C216-I$1&lt;År1,0,H215*(1-VLOOKUP($A216,[1]Hugst!$R$5:$W$9,MATCH(ROUNDUP((I$1)/10,0)*10,[1]Hugst!$R$4:$W$4,0))))</f>
        <v>494.87984529007917</v>
      </c>
      <c r="J216" s="168">
        <f ca="1">IF($C216-J$1&lt;År1,0,I215*(1-VLOOKUP($A216,[1]Hugst!$R$5:$W$9,MATCH(ROUNDUP((J$1)/10,0)*10,[1]Hugst!$R$4:$W$4,0))))</f>
        <v>496.70296259349197</v>
      </c>
      <c r="K216" s="168">
        <f ca="1">IF($C216-K$1&lt;År1,0,J215*(1-VLOOKUP($A216,[1]Hugst!$R$5:$W$9,MATCH(ROUNDUP((K$1)/10,0)*10,[1]Hugst!$R$4:$W$4,0))))</f>
        <v>498.53702619239994</v>
      </c>
      <c r="L216" s="168">
        <f ca="1">IF($C216-L$1&lt;År1,0,K215*(1-VLOOKUP($A216,[1]Hugst!$R$5:$W$9,MATCH(ROUNDUP((L$1)/10,0)*10,[1]Hugst!$R$4:$W$4,0))))</f>
        <v>500.38210153785622</v>
      </c>
      <c r="M216" s="168">
        <f ca="1">IF($C216-M$1&lt;År1,0,L215*(1-VLOOKUP($A216,[1]Hugst!$R$5:$W$9,MATCH(ROUNDUP((M$1)/10,0)*10,[1]Hugst!$R$4:$W$4,0))))</f>
        <v>502.23825444639078</v>
      </c>
      <c r="N216" s="168">
        <f ca="1">IF($C216-N$1&lt;År1,0,M215*(1-VLOOKUP($A216,[1]Hugst!$R$5:$W$9,MATCH(ROUNDUP((N$1)/10,0)*10,[1]Hugst!$R$4:$W$4,0))))</f>
        <v>504.10555110188943</v>
      </c>
      <c r="O216" s="168">
        <f ca="1">IF($C216-O$1&lt;År1,0,N215*(1-VLOOKUP($A216,[1]Hugst!$R$5:$W$9,MATCH(ROUNDUP((O$1)/10,0)*10,[1]Hugst!$R$4:$W$4,0))))</f>
        <v>505.98405805765469</v>
      </c>
      <c r="P216" s="168">
        <f ca="1">IF($C216-P$1&lt;År1,0,O215*(1-VLOOKUP($A216,[1]Hugst!$R$5:$W$9,MATCH(ROUNDUP((P$1)/10,0)*10,[1]Hugst!$R$4:$W$4,0))))</f>
        <v>506.23671779722883</v>
      </c>
      <c r="Q216" s="168">
        <f ca="1">IF($C216-Q$1&lt;År1,0,P215*(1-VLOOKUP($A216,[1]Hugst!$R$5:$W$9,MATCH(ROUNDUP((Q$1)/10,0)*10,[1]Hugst!$R$4:$W$4,0))))</f>
        <v>506.49008977773065</v>
      </c>
      <c r="R216" s="168">
        <f ca="1">IF($C216-R$1&lt;År1,0,Q215*(1-VLOOKUP($A216,[1]Hugst!$R$5:$W$9,MATCH(ROUNDUP((R$1)/10,0)*10,[1]Hugst!$R$4:$W$4,0))))</f>
        <v>506.74417600699661</v>
      </c>
      <c r="S216" s="168">
        <f ca="1">IF($C216-S$1&lt;År1,0,R215*(1-VLOOKUP($A216,[1]Hugst!$R$5:$W$9,MATCH(ROUNDUP((S$1)/10,0)*10,[1]Hugst!$R$4:$W$4,0))))</f>
        <v>506.9989784984619</v>
      </c>
      <c r="T216" s="168">
        <f ca="1">IF($C216-T$1&lt;År1,0,S215*(1-VLOOKUP($A216,[1]Hugst!$R$5:$W$9,MATCH(ROUNDUP((T$1)/10,0)*10,[1]Hugst!$R$4:$W$4,0))))</f>
        <v>507.25449927123498</v>
      </c>
      <c r="U216" s="168">
        <f ca="1">IF($C216-U$1&lt;År1,0,T215*(1-VLOOKUP($A216,[1]Hugst!$R$5:$W$9,MATCH(ROUNDUP((U$1)/10,0)*10,[1]Hugst!$R$4:$W$4,0))))</f>
        <v>507.51074035015546</v>
      </c>
      <c r="V216" s="168">
        <f ca="1">IF($C216-V$1&lt;År1,0,U215*(1-VLOOKUP($A216,[1]Hugst!$R$5:$W$9,MATCH(ROUNDUP((V$1)/10,0)*10,[1]Hugst!$R$4:$W$4,0))))</f>
        <v>507.76770376574899</v>
      </c>
      <c r="W216" s="168">
        <f ca="1">IF($C216-W$1&lt;År1,0,V215*(1-VLOOKUP($A216,[1]Hugst!$R$5:$W$9,MATCH(ROUNDUP((W$1)/10,0)*10,[1]Hugst!$R$4:$W$4,0))))</f>
        <v>508.02539155421266</v>
      </c>
      <c r="X216" s="168">
        <f ca="1">IF($C216-X$1&lt;År1,0,W215*(1-VLOOKUP($A216,[1]Hugst!$R$5:$W$9,MATCH(ROUNDUP((X$1)/10,0)*10,[1]Hugst!$R$4:$W$4,0))))</f>
        <v>508.28380575763293</v>
      </c>
      <c r="Y216" s="168">
        <f ca="1">IF($C216-Y$1&lt;År1,0,X215*(1-VLOOKUP($A216,[1]Hugst!$R$5:$W$9,MATCH(ROUNDUP((Y$1)/10,0)*10,[1]Hugst!$R$4:$W$4,0))))</f>
        <v>508.54294842363265</v>
      </c>
      <c r="Z216" s="168">
        <f ca="1">IF($C216-Z$1&lt;År1,0,Y215*(1-VLOOKUP($A216,[1]Hugst!$R$5:$W$9,MATCH(ROUNDUP((Z$1)/10,0)*10,[1]Hugst!$R$4:$W$4,0))))</f>
        <v>510.47514984553754</v>
      </c>
      <c r="AA216" s="168">
        <f ca="1">IF($C216-AA$1&lt;År1,0,Z215*(1-VLOOKUP($A216,[1]Hugst!$R$5:$W$9,MATCH(ROUNDUP((AA$1)/10,0)*10,[1]Hugst!$R$4:$W$4,0))))</f>
        <v>512.41469263817839</v>
      </c>
      <c r="AB216" s="168">
        <f ca="1">IF($C216-AB$1&lt;År1,0,AA215*(1-VLOOKUP($A216,[1]Hugst!$R$5:$W$9,MATCH(ROUNDUP((AB$1)/10,0)*10,[1]Hugst!$R$4:$W$4,0))))</f>
        <v>514.36160469501738</v>
      </c>
      <c r="AC216" s="168">
        <f ca="1">IF($C216-AC$1&lt;År1,0,AB215*(1-VLOOKUP($A216,[1]Hugst!$R$5:$W$9,MATCH(ROUNDUP((AC$1)/10,0)*10,[1]Hugst!$R$4:$W$4,0))))</f>
        <v>516.31591401546359</v>
      </c>
      <c r="AD216" s="168">
        <f ca="1">IF($C216-AD$1&lt;År1,0,AC215*(1-VLOOKUP($A216,[1]Hugst!$R$5:$W$9,MATCH(ROUNDUP((AD$1)/10,0)*10,[1]Hugst!$R$4:$W$4,0))))</f>
        <v>518.2776487053153</v>
      </c>
      <c r="AE216" s="168">
        <f ca="1">IF($C216-AE$1&lt;År1,0,AD215*(1-VLOOKUP($A216,[1]Hugst!$R$5:$W$9,MATCH(ROUNDUP((AE$1)/10,0)*10,[1]Hugst!$R$4:$W$4,0))))</f>
        <v>520.24683697714727</v>
      </c>
      <c r="AF216" s="168">
        <f ca="1">IF($C216-AF$1&lt;År1,0,AE215*(1-VLOOKUP($A216,[1]Hugst!$R$5:$W$9,MATCH(ROUNDUP((AF$1)/10,0)*10,[1]Hugst!$R$4:$W$4,0))))</f>
        <v>522.22350715073628</v>
      </c>
      <c r="AG216" s="168">
        <f ca="1">IF($C216-AG$1&lt;År1,0,AF215*(1-VLOOKUP($A216,[1]Hugst!$R$5:$W$9,MATCH(ROUNDUP((AG$1)/10,0)*10,[1]Hugst!$R$4:$W$4,0))))</f>
        <v>524.2076876534386</v>
      </c>
      <c r="AH216" s="168">
        <f ca="1">IF($C216-AH$1&lt;År1,0,AG215*(1-VLOOKUP($A216,[1]Hugst!$R$5:$W$9,MATCH(ROUNDUP((AH$1)/10,0)*10,[1]Hugst!$R$4:$W$4,0))))</f>
        <v>526.19940702068493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177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470.25456892891089</v>
      </c>
      <c r="E217" s="168">
        <f t="shared" ca="1" si="4"/>
        <v>17.440973764189039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487.69554269309992</v>
      </c>
      <c r="G217" s="168">
        <f ca="1">IF($C217-G$1&lt;År1,0,F216*(1-VLOOKUP($A217,[1]Hugst!$R$5:$W$9,MATCH(ROUNDUP((G$1)/10,0)*10,[1]Hugst!$R$4:$W$4,0))))</f>
        <v>489.47552208350317</v>
      </c>
      <c r="H217" s="168">
        <f ca="1">IF($C217-H$1&lt;År1,0,G216*(1-VLOOKUP($A217,[1]Hugst!$R$5:$W$9,MATCH(ROUNDUP((H$1)/10,0)*10,[1]Hugst!$R$4:$W$4,0))))</f>
        <v>491.26618958116705</v>
      </c>
      <c r="I217" s="168">
        <f ca="1">IF($C217-I$1&lt;År1,0,H216*(1-VLOOKUP($A217,[1]Hugst!$R$5:$W$9,MATCH(ROUNDUP((I$1)/10,0)*10,[1]Hugst!$R$4:$W$4,0))))</f>
        <v>493.06760919464614</v>
      </c>
      <c r="J217" s="168">
        <f ca="1">IF($C217-J$1&lt;År1,0,I216*(1-VLOOKUP($A217,[1]Hugst!$R$5:$W$9,MATCH(ROUNDUP((J$1)/10,0)*10,[1]Hugst!$R$4:$W$4,0))))</f>
        <v>494.87984529007917</v>
      </c>
      <c r="K217" s="168">
        <f ca="1">IF($C217-K$1&lt;År1,0,J216*(1-VLOOKUP($A217,[1]Hugst!$R$5:$W$9,MATCH(ROUNDUP((K$1)/10,0)*10,[1]Hugst!$R$4:$W$4,0))))</f>
        <v>496.70296259349197</v>
      </c>
      <c r="L217" s="168">
        <f ca="1">IF($C217-L$1&lt;År1,0,K216*(1-VLOOKUP($A217,[1]Hugst!$R$5:$W$9,MATCH(ROUNDUP((L$1)/10,0)*10,[1]Hugst!$R$4:$W$4,0))))</f>
        <v>498.53702619239994</v>
      </c>
      <c r="M217" s="168">
        <f ca="1">IF($C217-M$1&lt;År1,0,L216*(1-VLOOKUP($A217,[1]Hugst!$R$5:$W$9,MATCH(ROUNDUP((M$1)/10,0)*10,[1]Hugst!$R$4:$W$4,0))))</f>
        <v>500.38210153785622</v>
      </c>
      <c r="N217" s="168">
        <f ca="1">IF($C217-N$1&lt;År1,0,M216*(1-VLOOKUP($A217,[1]Hugst!$R$5:$W$9,MATCH(ROUNDUP((N$1)/10,0)*10,[1]Hugst!$R$4:$W$4,0))))</f>
        <v>502.23825444639078</v>
      </c>
      <c r="O217" s="168">
        <f ca="1">IF($C217-O$1&lt;År1,0,N216*(1-VLOOKUP($A217,[1]Hugst!$R$5:$W$9,MATCH(ROUNDUP((O$1)/10,0)*10,[1]Hugst!$R$4:$W$4,0))))</f>
        <v>504.10555110188943</v>
      </c>
      <c r="P217" s="168">
        <f ca="1">IF($C217-P$1&lt;År1,0,O216*(1-VLOOKUP($A217,[1]Hugst!$R$5:$W$9,MATCH(ROUNDUP((P$1)/10,0)*10,[1]Hugst!$R$4:$W$4,0))))</f>
        <v>504.87336134484519</v>
      </c>
      <c r="Q217" s="168">
        <f ca="1">IF($C217-Q$1&lt;År1,0,P216*(1-VLOOKUP($A217,[1]Hugst!$R$5:$W$9,MATCH(ROUNDUP((Q$1)/10,0)*10,[1]Hugst!$R$4:$W$4,0))))</f>
        <v>505.12546646547884</v>
      </c>
      <c r="R217" s="168">
        <f ca="1">IF($C217-R$1&lt;År1,0,Q216*(1-VLOOKUP($A217,[1]Hugst!$R$5:$W$9,MATCH(ROUNDUP((R$1)/10,0)*10,[1]Hugst!$R$4:$W$4,0))))</f>
        <v>505.37828226358442</v>
      </c>
      <c r="S217" s="168">
        <f ca="1">IF($C217-S$1&lt;År1,0,R216*(1-VLOOKUP($A217,[1]Hugst!$R$5:$W$9,MATCH(ROUNDUP((S$1)/10,0)*10,[1]Hugst!$R$4:$W$4,0))))</f>
        <v>505.63181074259103</v>
      </c>
      <c r="T217" s="168">
        <f ca="1">IF($C217-T$1&lt;År1,0,S216*(1-VLOOKUP($A217,[1]Hugst!$R$5:$W$9,MATCH(ROUNDUP((T$1)/10,0)*10,[1]Hugst!$R$4:$W$4,0))))</f>
        <v>505.88605391151407</v>
      </c>
      <c r="U217" s="168">
        <f ca="1">IF($C217-U$1&lt;År1,0,T216*(1-VLOOKUP($A217,[1]Hugst!$R$5:$W$9,MATCH(ROUNDUP((U$1)/10,0)*10,[1]Hugst!$R$4:$W$4,0))))</f>
        <v>506.14101378502983</v>
      </c>
      <c r="V217" s="168">
        <f ca="1">IF($C217-V$1&lt;År1,0,U216*(1-VLOOKUP($A217,[1]Hugst!$R$5:$W$9,MATCH(ROUNDUP((V$1)/10,0)*10,[1]Hugst!$R$4:$W$4,0))))</f>
        <v>506.39669238353315</v>
      </c>
      <c r="W217" s="168">
        <f ca="1">IF($C217-W$1&lt;År1,0,V216*(1-VLOOKUP($A217,[1]Hugst!$R$5:$W$9,MATCH(ROUNDUP((W$1)/10,0)*10,[1]Hugst!$R$4:$W$4,0))))</f>
        <v>506.65309173309248</v>
      </c>
      <c r="X217" s="168">
        <f ca="1">IF($C217-X$1&lt;År1,0,W216*(1-VLOOKUP($A217,[1]Hugst!$R$5:$W$9,MATCH(ROUNDUP((X$1)/10,0)*10,[1]Hugst!$R$4:$W$4,0))))</f>
        <v>506.91021386543514</v>
      </c>
      <c r="Y217" s="168">
        <f ca="1">IF($C217-Y$1&lt;År1,0,X216*(1-VLOOKUP($A217,[1]Hugst!$R$5:$W$9,MATCH(ROUNDUP((Y$1)/10,0)*10,[1]Hugst!$R$4:$W$4,0))))</f>
        <v>507.16806081816497</v>
      </c>
      <c r="Z217" s="168">
        <f ca="1">IF($C217-Z$1&lt;År1,0,Y216*(1-VLOOKUP($A217,[1]Hugst!$R$5:$W$9,MATCH(ROUNDUP((Z$1)/10,0)*10,[1]Hugst!$R$4:$W$4,0))))</f>
        <v>507.92277409628673</v>
      </c>
      <c r="AA217" s="168">
        <f ca="1">IF($C217-AA$1&lt;År1,0,Z216*(1-VLOOKUP($A217,[1]Hugst!$R$5:$W$9,MATCH(ROUNDUP((AA$1)/10,0)*10,[1]Hugst!$R$4:$W$4,0))))</f>
        <v>509.85261917499423</v>
      </c>
      <c r="AB217" s="168">
        <f ca="1">IF($C217-AB$1&lt;År1,0,AA216*(1-VLOOKUP($A217,[1]Hugst!$R$5:$W$9,MATCH(ROUNDUP((AB$1)/10,0)*10,[1]Hugst!$R$4:$W$4,0))))</f>
        <v>511.78979667154647</v>
      </c>
      <c r="AC217" s="168">
        <f ca="1">IF($C217-AC$1&lt;År1,0,AB216*(1-VLOOKUP($A217,[1]Hugst!$R$5:$W$9,MATCH(ROUNDUP((AC$1)/10,0)*10,[1]Hugst!$R$4:$W$4,0))))</f>
        <v>513.73433444538932</v>
      </c>
      <c r="AD217" s="168">
        <f ca="1">IF($C217-AD$1&lt;År1,0,AC216*(1-VLOOKUP($A217,[1]Hugst!$R$5:$W$9,MATCH(ROUNDUP((AD$1)/10,0)*10,[1]Hugst!$R$4:$W$4,0))))</f>
        <v>515.68626046178622</v>
      </c>
      <c r="AE217" s="168">
        <f ca="1">IF($C217-AE$1&lt;År1,0,AD216*(1-VLOOKUP($A217,[1]Hugst!$R$5:$W$9,MATCH(ROUNDUP((AE$1)/10,0)*10,[1]Hugst!$R$4:$W$4,0))))</f>
        <v>517.64560279226009</v>
      </c>
      <c r="AF217" s="168">
        <f ca="1">IF($C217-AF$1&lt;År1,0,AE216*(1-VLOOKUP($A217,[1]Hugst!$R$5:$W$9,MATCH(ROUNDUP((AF$1)/10,0)*10,[1]Hugst!$R$4:$W$4,0))))</f>
        <v>519.61238961497997</v>
      </c>
      <c r="AG217" s="168">
        <f ca="1">IF($C217-AG$1&lt;År1,0,AF216*(1-VLOOKUP($A217,[1]Hugst!$R$5:$W$9,MATCH(ROUNDUP((AG$1)/10,0)*10,[1]Hugst!$R$4:$W$4,0))))</f>
        <v>521.58664921518664</v>
      </c>
      <c r="AH217" s="168">
        <f ca="1">IF($C217-AH$1&lt;År1,0,AG216*(1-VLOOKUP($A217,[1]Hugst!$R$5:$W$9,MATCH(ROUNDUP((AH$1)/10,0)*10,[1]Hugst!$R$4:$W$4,0))))</f>
        <v>523.56840998556856</v>
      </c>
      <c r="AI217" s="168">
        <f ca="1">IF($C217-AI$1&lt;År1,0,AH216*(1-VLOOKUP($A217,[1]Hugst!$R$5:$W$9,MATCH(ROUNDUP((AI$1)/10,0)*10,[1]Hugst!$R$4:$W$4,0))))</f>
        <v>525.55770042675726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177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467.90329608427419</v>
      </c>
      <c r="E218" s="168">
        <f t="shared" ca="1" si="4"/>
        <v>17.732202927056278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485.63549901133047</v>
      </c>
      <c r="G218" s="168">
        <f ca="1">IF($C218-G$1&lt;År1,0,F217*(1-VLOOKUP($A218,[1]Hugst!$R$5:$W$9,MATCH(ROUNDUP((G$1)/10,0)*10,[1]Hugst!$R$4:$W$4,0))))</f>
        <v>487.69554269309992</v>
      </c>
      <c r="H218" s="168">
        <f ca="1">IF($C218-H$1&lt;År1,0,G217*(1-VLOOKUP($A218,[1]Hugst!$R$5:$W$9,MATCH(ROUNDUP((H$1)/10,0)*10,[1]Hugst!$R$4:$W$4,0))))</f>
        <v>489.47552208350317</v>
      </c>
      <c r="I218" s="168">
        <f ca="1">IF($C218-I$1&lt;År1,0,H217*(1-VLOOKUP($A218,[1]Hugst!$R$5:$W$9,MATCH(ROUNDUP((I$1)/10,0)*10,[1]Hugst!$R$4:$W$4,0))))</f>
        <v>491.26618958116705</v>
      </c>
      <c r="J218" s="168">
        <f ca="1">IF($C218-J$1&lt;År1,0,I217*(1-VLOOKUP($A218,[1]Hugst!$R$5:$W$9,MATCH(ROUNDUP((J$1)/10,0)*10,[1]Hugst!$R$4:$W$4,0))))</f>
        <v>493.06760919464614</v>
      </c>
      <c r="K218" s="168">
        <f ca="1">IF($C218-K$1&lt;År1,0,J217*(1-VLOOKUP($A218,[1]Hugst!$R$5:$W$9,MATCH(ROUNDUP((K$1)/10,0)*10,[1]Hugst!$R$4:$W$4,0))))</f>
        <v>494.87984529007917</v>
      </c>
      <c r="L218" s="168">
        <f ca="1">IF($C218-L$1&lt;År1,0,K217*(1-VLOOKUP($A218,[1]Hugst!$R$5:$W$9,MATCH(ROUNDUP((L$1)/10,0)*10,[1]Hugst!$R$4:$W$4,0))))</f>
        <v>496.70296259349197</v>
      </c>
      <c r="M218" s="168">
        <f ca="1">IF($C218-M$1&lt;År1,0,L217*(1-VLOOKUP($A218,[1]Hugst!$R$5:$W$9,MATCH(ROUNDUP((M$1)/10,0)*10,[1]Hugst!$R$4:$W$4,0))))</f>
        <v>498.53702619239994</v>
      </c>
      <c r="N218" s="168">
        <f ca="1">IF($C218-N$1&lt;År1,0,M217*(1-VLOOKUP($A218,[1]Hugst!$R$5:$W$9,MATCH(ROUNDUP((N$1)/10,0)*10,[1]Hugst!$R$4:$W$4,0))))</f>
        <v>500.38210153785622</v>
      </c>
      <c r="O218" s="168">
        <f ca="1">IF($C218-O$1&lt;År1,0,N217*(1-VLOOKUP($A218,[1]Hugst!$R$5:$W$9,MATCH(ROUNDUP((O$1)/10,0)*10,[1]Hugst!$R$4:$W$4,0))))</f>
        <v>502.23825444639078</v>
      </c>
      <c r="P218" s="168">
        <f ca="1">IF($C218-P$1&lt;År1,0,O217*(1-VLOOKUP($A218,[1]Hugst!$R$5:$W$9,MATCH(ROUNDUP((P$1)/10,0)*10,[1]Hugst!$R$4:$W$4,0))))</f>
        <v>502.99897794093408</v>
      </c>
      <c r="Q218" s="168">
        <f ca="1">IF($C218-Q$1&lt;År1,0,P217*(1-VLOOKUP($A218,[1]Hugst!$R$5:$W$9,MATCH(ROUNDUP((Q$1)/10,0)*10,[1]Hugst!$R$4:$W$4,0))))</f>
        <v>503.76510274677116</v>
      </c>
      <c r="R218" s="168">
        <f ca="1">IF($C218-R$1&lt;År1,0,Q217*(1-VLOOKUP($A218,[1]Hugst!$R$5:$W$9,MATCH(ROUNDUP((R$1)/10,0)*10,[1]Hugst!$R$4:$W$4,0))))</f>
        <v>504.01665446592045</v>
      </c>
      <c r="S218" s="168">
        <f ca="1">IF($C218-S$1&lt;År1,0,R217*(1-VLOOKUP($A218,[1]Hugst!$R$5:$W$9,MATCH(ROUNDUP((S$1)/10,0)*10,[1]Hugst!$R$4:$W$4,0))))</f>
        <v>504.268915302518</v>
      </c>
      <c r="T218" s="168">
        <f ca="1">IF($C218-T$1&lt;År1,0,S217*(1-VLOOKUP($A218,[1]Hugst!$R$5:$W$9,MATCH(ROUNDUP((T$1)/10,0)*10,[1]Hugst!$R$4:$W$4,0))))</f>
        <v>504.52188725559512</v>
      </c>
      <c r="U218" s="168">
        <f ca="1">IF($C218-U$1&lt;År1,0,T217*(1-VLOOKUP($A218,[1]Hugst!$R$5:$W$9,MATCH(ROUNDUP((U$1)/10,0)*10,[1]Hugst!$R$4:$W$4,0))))</f>
        <v>504.7755723297571</v>
      </c>
      <c r="V218" s="168">
        <f ca="1">IF($C218-V$1&lt;År1,0,U217*(1-VLOOKUP($A218,[1]Hugst!$R$5:$W$9,MATCH(ROUNDUP((V$1)/10,0)*10,[1]Hugst!$R$4:$W$4,0))))</f>
        <v>505.0299725352578</v>
      </c>
      <c r="W218" s="168">
        <f ca="1">IF($C218-W$1&lt;År1,0,V217*(1-VLOOKUP($A218,[1]Hugst!$R$5:$W$9,MATCH(ROUNDUP((W$1)/10,0)*10,[1]Hugst!$R$4:$W$4,0))))</f>
        <v>505.28508988805709</v>
      </c>
      <c r="X218" s="168">
        <f ca="1">IF($C218-X$1&lt;År1,0,W217*(1-VLOOKUP($A218,[1]Hugst!$R$5:$W$9,MATCH(ROUNDUP((X$1)/10,0)*10,[1]Hugst!$R$4:$W$4,0))))</f>
        <v>505.54092640977592</v>
      </c>
      <c r="Y218" s="168">
        <f ca="1">IF($C218-Y$1&lt;År1,0,X217*(1-VLOOKUP($A218,[1]Hugst!$R$5:$W$9,MATCH(ROUNDUP((Y$1)/10,0)*10,[1]Hugst!$R$4:$W$4,0))))</f>
        <v>505.79748412768174</v>
      </c>
      <c r="Z218" s="168">
        <f ca="1">IF($C218-Z$1&lt;År1,0,Y217*(1-VLOOKUP($A218,[1]Hugst!$R$5:$W$9,MATCH(ROUNDUP((Z$1)/10,0)*10,[1]Hugst!$R$4:$W$4,0))))</f>
        <v>506.54956318302089</v>
      </c>
      <c r="AA218" s="168">
        <f ca="1">IF($C218-AA$1&lt;År1,0,Z217*(1-VLOOKUP($A218,[1]Hugst!$R$5:$W$9,MATCH(ROUNDUP((AA$1)/10,0)*10,[1]Hugst!$R$4:$W$4,0))))</f>
        <v>507.30335607909615</v>
      </c>
      <c r="AB218" s="168">
        <f ca="1">IF($C218-AB$1&lt;År1,0,AA217*(1-VLOOKUP($A218,[1]Hugst!$R$5:$W$9,MATCH(ROUNDUP((AB$1)/10,0)*10,[1]Hugst!$R$4:$W$4,0))))</f>
        <v>509.23084768819547</v>
      </c>
      <c r="AC218" s="168">
        <f ca="1">IF($C218-AC$1&lt;År1,0,AB217*(1-VLOOKUP($A218,[1]Hugst!$R$5:$W$9,MATCH(ROUNDUP((AC$1)/10,0)*10,[1]Hugst!$R$4:$W$4,0))))</f>
        <v>511.16566277316656</v>
      </c>
      <c r="AD218" s="168">
        <f ca="1">IF($C218-AD$1&lt;År1,0,AC217*(1-VLOOKUP($A218,[1]Hugst!$R$5:$W$9,MATCH(ROUNDUP((AD$1)/10,0)*10,[1]Hugst!$R$4:$W$4,0))))</f>
        <v>513.10782915948027</v>
      </c>
      <c r="AE218" s="168">
        <f ca="1">IF($C218-AE$1&lt;År1,0,AD217*(1-VLOOKUP($A218,[1]Hugst!$R$5:$W$9,MATCH(ROUNDUP((AE$1)/10,0)*10,[1]Hugst!$R$4:$W$4,0))))</f>
        <v>515.05737477829621</v>
      </c>
      <c r="AF218" s="168">
        <f ca="1">IF($C218-AF$1&lt;År1,0,AE217*(1-VLOOKUP($A218,[1]Hugst!$R$5:$W$9,MATCH(ROUNDUP((AF$1)/10,0)*10,[1]Hugst!$R$4:$W$4,0))))</f>
        <v>517.01432766690368</v>
      </c>
      <c r="AG218" s="168">
        <f ca="1">IF($C218-AG$1&lt;År1,0,AF217*(1-VLOOKUP($A218,[1]Hugst!$R$5:$W$9,MATCH(ROUNDUP((AG$1)/10,0)*10,[1]Hugst!$R$4:$W$4,0))))</f>
        <v>518.97871596910807</v>
      </c>
      <c r="AH218" s="168">
        <f ca="1">IF($C218-AH$1&lt;År1,0,AG217*(1-VLOOKUP($A218,[1]Hugst!$R$5:$W$9,MATCH(ROUNDUP((AH$1)/10,0)*10,[1]Hugst!$R$4:$W$4,0))))</f>
        <v>520.95056793565595</v>
      </c>
      <c r="AI218" s="168">
        <f ca="1">IF($C218-AI$1&lt;År1,0,AH217*(1-VLOOKUP($A218,[1]Hugst!$R$5:$W$9,MATCH(ROUNDUP((AI$1)/10,0)*10,[1]Hugst!$R$4:$W$4,0))))</f>
        <v>522.92991192461056</v>
      </c>
      <c r="AJ218" s="168">
        <f ca="1">IF($C218-AJ$1&lt;År1,0,AI217*(1-VLOOKUP($A218,[1]Hugst!$R$5:$W$9,MATCH(ROUNDUP((AJ$1)/10,0)*10,[1]Hugst!$R$4:$W$4,0))))</f>
        <v>525.20519221305642</v>
      </c>
    </row>
    <row r="219" spans="1:36" x14ac:dyDescent="0.25">
      <c r="A219" s="168" t="s">
        <v>177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159.18184797116919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159.18184797116919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177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158.38593873131322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158.38593873131322</v>
      </c>
      <c r="G220" s="168">
        <f ca="1">IF($C220-G$1&lt;År1,0,F219*(1-VLOOKUP($A220,[1]Hugst!$R$5:$W$9,MATCH(ROUNDUP((G$1)/10,0)*10,[1]Hugst!$R$4:$W$4,0))))</f>
        <v>159.18184797116919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177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157.59400903765709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157.59400903765709</v>
      </c>
      <c r="G221" s="168">
        <f ca="1">IF($C221-G$1&lt;År1,0,F220*(1-VLOOKUP($A221,[1]Hugst!$R$5:$W$9,MATCH(ROUNDUP((G$1)/10,0)*10,[1]Hugst!$R$4:$W$4,0))))</f>
        <v>158.38593873131322</v>
      </c>
      <c r="H221" s="168">
        <f ca="1">IF($C221-H$1&lt;År1,0,G220*(1-VLOOKUP($A221,[1]Hugst!$R$5:$W$9,MATCH(ROUNDUP((H$1)/10,0)*10,[1]Hugst!$R$4:$W$4,0))))</f>
        <v>159.18184797116919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177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156.80603899246489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156.80603899246489</v>
      </c>
      <c r="G222" s="168">
        <f ca="1">IF($C222-G$1&lt;År1,0,F221*(1-VLOOKUP($A222,[1]Hugst!$R$5:$W$9,MATCH(ROUNDUP((G$1)/10,0)*10,[1]Hugst!$R$4:$W$4,0))))</f>
        <v>157.59400903765709</v>
      </c>
      <c r="H222" s="168">
        <f ca="1">IF($C222-H$1&lt;År1,0,G221*(1-VLOOKUP($A222,[1]Hugst!$R$5:$W$9,MATCH(ROUNDUP((H$1)/10,0)*10,[1]Hugst!$R$4:$W$4,0))))</f>
        <v>158.38593873131322</v>
      </c>
      <c r="I222" s="168">
        <f ca="1">IF($C222-I$1&lt;År1,0,H221*(1-VLOOKUP($A222,[1]Hugst!$R$5:$W$9,MATCH(ROUNDUP((I$1)/10,0)*10,[1]Hugst!$R$4:$W$4,0))))</f>
        <v>159.18184797116919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177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156.02200879750671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156.02200879750671</v>
      </c>
      <c r="G223" s="168">
        <f ca="1">IF($C223-G$1&lt;År1,0,F222*(1-VLOOKUP($A223,[1]Hugst!$R$5:$W$9,MATCH(ROUNDUP((G$1)/10,0)*10,[1]Hugst!$R$4:$W$4,0))))</f>
        <v>156.80603899246489</v>
      </c>
      <c r="H223" s="168">
        <f ca="1">IF($C223-H$1&lt;År1,0,G222*(1-VLOOKUP($A223,[1]Hugst!$R$5:$W$9,MATCH(ROUNDUP((H$1)/10,0)*10,[1]Hugst!$R$4:$W$4,0))))</f>
        <v>157.59400903765709</v>
      </c>
      <c r="I223" s="168">
        <f ca="1">IF($C223-I$1&lt;År1,0,H222*(1-VLOOKUP($A223,[1]Hugst!$R$5:$W$9,MATCH(ROUNDUP((I$1)/10,0)*10,[1]Hugst!$R$4:$W$4,0))))</f>
        <v>158.38593873131322</v>
      </c>
      <c r="J223" s="168">
        <f ca="1">IF($C223-J$1&lt;År1,0,I222*(1-VLOOKUP($A223,[1]Hugst!$R$5:$W$9,MATCH(ROUNDUP((J$1)/10,0)*10,[1]Hugst!$R$4:$W$4,0))))</f>
        <v>159.18184797116919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177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155.24189875351658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155.24189875351658</v>
      </c>
      <c r="G224" s="168">
        <f ca="1">IF($C224-G$1&lt;År1,0,F223*(1-VLOOKUP($A224,[1]Hugst!$R$5:$W$9,MATCH(ROUNDUP((G$1)/10,0)*10,[1]Hugst!$R$4:$W$4,0))))</f>
        <v>156.02200879750671</v>
      </c>
      <c r="H224" s="168">
        <f ca="1">IF($C224-H$1&lt;År1,0,G223*(1-VLOOKUP($A224,[1]Hugst!$R$5:$W$9,MATCH(ROUNDUP((H$1)/10,0)*10,[1]Hugst!$R$4:$W$4,0))))</f>
        <v>156.80603899246489</v>
      </c>
      <c r="I224" s="168">
        <f ca="1">IF($C224-I$1&lt;År1,0,H223*(1-VLOOKUP($A224,[1]Hugst!$R$5:$W$9,MATCH(ROUNDUP((I$1)/10,0)*10,[1]Hugst!$R$4:$W$4,0))))</f>
        <v>157.59400903765709</v>
      </c>
      <c r="J224" s="168">
        <f ca="1">IF($C224-J$1&lt;År1,0,I223*(1-VLOOKUP($A224,[1]Hugst!$R$5:$W$9,MATCH(ROUNDUP((J$1)/10,0)*10,[1]Hugst!$R$4:$W$4,0))))</f>
        <v>158.38593873131322</v>
      </c>
      <c r="K224" s="168">
        <f ca="1">IF($C224-K$1&lt;År1,0,J223*(1-VLOOKUP($A224,[1]Hugst!$R$5:$W$9,MATCH(ROUNDUP((K$1)/10,0)*10,[1]Hugst!$R$4:$W$4,0))))</f>
        <v>159.18184797116919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177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154.46568925975589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154.46568925975589</v>
      </c>
      <c r="G225" s="168">
        <f ca="1">IF($C225-G$1&lt;År1,0,F224*(1-VLOOKUP($A225,[1]Hugst!$R$5:$W$9,MATCH(ROUNDUP((G$1)/10,0)*10,[1]Hugst!$R$4:$W$4,0))))</f>
        <v>155.24189875351658</v>
      </c>
      <c r="H225" s="168">
        <f ca="1">IF($C225-H$1&lt;År1,0,G224*(1-VLOOKUP($A225,[1]Hugst!$R$5:$W$9,MATCH(ROUNDUP((H$1)/10,0)*10,[1]Hugst!$R$4:$W$4,0))))</f>
        <v>156.02200879750671</v>
      </c>
      <c r="I225" s="168">
        <f ca="1">IF($C225-I$1&lt;År1,0,H224*(1-VLOOKUP($A225,[1]Hugst!$R$5:$W$9,MATCH(ROUNDUP((I$1)/10,0)*10,[1]Hugst!$R$4:$W$4,0))))</f>
        <v>156.80603899246489</v>
      </c>
      <c r="J225" s="168">
        <f ca="1">IF($C225-J$1&lt;År1,0,I224*(1-VLOOKUP($A225,[1]Hugst!$R$5:$W$9,MATCH(ROUNDUP((J$1)/10,0)*10,[1]Hugst!$R$4:$W$4,0))))</f>
        <v>157.59400903765709</v>
      </c>
      <c r="K225" s="168">
        <f ca="1">IF($C225-K$1&lt;År1,0,J224*(1-VLOOKUP($A225,[1]Hugst!$R$5:$W$9,MATCH(ROUNDUP((K$1)/10,0)*10,[1]Hugst!$R$4:$W$4,0))))</f>
        <v>158.38593873131322</v>
      </c>
      <c r="L225" s="168">
        <f ca="1">IF($C225-L$1&lt;År1,0,K224*(1-VLOOKUP($A225,[1]Hugst!$R$5:$W$9,MATCH(ROUNDUP((L$1)/10,0)*10,[1]Hugst!$R$4:$W$4,0))))</f>
        <v>159.18184797116919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177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153.69336081344954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153.69336081344954</v>
      </c>
      <c r="G226" s="168">
        <f ca="1">IF($C226-G$1&lt;År1,0,F225*(1-VLOOKUP($A226,[1]Hugst!$R$5:$W$9,MATCH(ROUNDUP((G$1)/10,0)*10,[1]Hugst!$R$4:$W$4,0))))</f>
        <v>154.46568925975589</v>
      </c>
      <c r="H226" s="168">
        <f ca="1">IF($C226-H$1&lt;År1,0,G225*(1-VLOOKUP($A226,[1]Hugst!$R$5:$W$9,MATCH(ROUNDUP((H$1)/10,0)*10,[1]Hugst!$R$4:$W$4,0))))</f>
        <v>155.24189875351658</v>
      </c>
      <c r="I226" s="168">
        <f ca="1">IF($C226-I$1&lt;År1,0,H225*(1-VLOOKUP($A226,[1]Hugst!$R$5:$W$9,MATCH(ROUNDUP((I$1)/10,0)*10,[1]Hugst!$R$4:$W$4,0))))</f>
        <v>156.02200879750671</v>
      </c>
      <c r="J226" s="168">
        <f ca="1">IF($C226-J$1&lt;År1,0,I225*(1-VLOOKUP($A226,[1]Hugst!$R$5:$W$9,MATCH(ROUNDUP((J$1)/10,0)*10,[1]Hugst!$R$4:$W$4,0))))</f>
        <v>156.80603899246489</v>
      </c>
      <c r="K226" s="168">
        <f ca="1">IF($C226-K$1&lt;År1,0,J225*(1-VLOOKUP($A226,[1]Hugst!$R$5:$W$9,MATCH(ROUNDUP((K$1)/10,0)*10,[1]Hugst!$R$4:$W$4,0))))</f>
        <v>157.59400903765709</v>
      </c>
      <c r="L226" s="168">
        <f ca="1">IF($C226-L$1&lt;År1,0,K225*(1-VLOOKUP($A226,[1]Hugst!$R$5:$W$9,MATCH(ROUNDUP((L$1)/10,0)*10,[1]Hugst!$R$4:$W$4,0))))</f>
        <v>158.38593873131322</v>
      </c>
      <c r="M226" s="168">
        <f ca="1">IF($C226-M$1&lt;År1,0,L225*(1-VLOOKUP($A226,[1]Hugst!$R$5:$W$9,MATCH(ROUNDUP((M$1)/10,0)*10,[1]Hugst!$R$4:$W$4,0))))</f>
        <v>159.18184797116919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177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152.92489400938575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152.92489400938575</v>
      </c>
      <c r="G227" s="168">
        <f ca="1">IF($C227-G$1&lt;År1,0,F226*(1-VLOOKUP($A227,[1]Hugst!$R$5:$W$9,MATCH(ROUNDUP((G$1)/10,0)*10,[1]Hugst!$R$4:$W$4,0))))</f>
        <v>153.69336081344954</v>
      </c>
      <c r="H227" s="168">
        <f ca="1">IF($C227-H$1&lt;År1,0,G226*(1-VLOOKUP($A227,[1]Hugst!$R$5:$W$9,MATCH(ROUNDUP((H$1)/10,0)*10,[1]Hugst!$R$4:$W$4,0))))</f>
        <v>154.46568925975589</v>
      </c>
      <c r="I227" s="168">
        <f ca="1">IF($C227-I$1&lt;År1,0,H226*(1-VLOOKUP($A227,[1]Hugst!$R$5:$W$9,MATCH(ROUNDUP((I$1)/10,0)*10,[1]Hugst!$R$4:$W$4,0))))</f>
        <v>155.24189875351658</v>
      </c>
      <c r="J227" s="168">
        <f ca="1">IF($C227-J$1&lt;År1,0,I226*(1-VLOOKUP($A227,[1]Hugst!$R$5:$W$9,MATCH(ROUNDUP((J$1)/10,0)*10,[1]Hugst!$R$4:$W$4,0))))</f>
        <v>156.02200879750671</v>
      </c>
      <c r="K227" s="168">
        <f ca="1">IF($C227-K$1&lt;År1,0,J226*(1-VLOOKUP($A227,[1]Hugst!$R$5:$W$9,MATCH(ROUNDUP((K$1)/10,0)*10,[1]Hugst!$R$4:$W$4,0))))</f>
        <v>156.80603899246489</v>
      </c>
      <c r="L227" s="168">
        <f ca="1">IF($C227-L$1&lt;År1,0,K226*(1-VLOOKUP($A227,[1]Hugst!$R$5:$W$9,MATCH(ROUNDUP((L$1)/10,0)*10,[1]Hugst!$R$4:$W$4,0))))</f>
        <v>157.59400903765709</v>
      </c>
      <c r="M227" s="168">
        <f ca="1">IF($C227-M$1&lt;År1,0,L226*(1-VLOOKUP($A227,[1]Hugst!$R$5:$W$9,MATCH(ROUNDUP((M$1)/10,0)*10,[1]Hugst!$R$4:$W$4,0))))</f>
        <v>158.38593873131322</v>
      </c>
      <c r="N227" s="168">
        <f ca="1">IF($C227-N$1&lt;År1,0,M226*(1-VLOOKUP($A227,[1]Hugst!$R$5:$W$9,MATCH(ROUNDUP((N$1)/10,0)*10,[1]Hugst!$R$4:$W$4,0))))</f>
        <v>159.18184797116919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177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152.16026953933761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152.16026953933761</v>
      </c>
      <c r="G228" s="168">
        <f ca="1">IF($C228-G$1&lt;År1,0,F227*(1-VLOOKUP($A228,[1]Hugst!$R$5:$W$9,MATCH(ROUNDUP((G$1)/10,0)*10,[1]Hugst!$R$4:$W$4,0))))</f>
        <v>152.92489400938575</v>
      </c>
      <c r="H228" s="168">
        <f ca="1">IF($C228-H$1&lt;År1,0,G227*(1-VLOOKUP($A228,[1]Hugst!$R$5:$W$9,MATCH(ROUNDUP((H$1)/10,0)*10,[1]Hugst!$R$4:$W$4,0))))</f>
        <v>153.69336081344954</v>
      </c>
      <c r="I228" s="168">
        <f ca="1">IF($C228-I$1&lt;År1,0,H227*(1-VLOOKUP($A228,[1]Hugst!$R$5:$W$9,MATCH(ROUNDUP((I$1)/10,0)*10,[1]Hugst!$R$4:$W$4,0))))</f>
        <v>154.46568925975589</v>
      </c>
      <c r="J228" s="168">
        <f ca="1">IF($C228-J$1&lt;År1,0,I227*(1-VLOOKUP($A228,[1]Hugst!$R$5:$W$9,MATCH(ROUNDUP((J$1)/10,0)*10,[1]Hugst!$R$4:$W$4,0))))</f>
        <v>155.24189875351658</v>
      </c>
      <c r="K228" s="168">
        <f ca="1">IF($C228-K$1&lt;År1,0,J227*(1-VLOOKUP($A228,[1]Hugst!$R$5:$W$9,MATCH(ROUNDUP((K$1)/10,0)*10,[1]Hugst!$R$4:$W$4,0))))</f>
        <v>156.02200879750671</v>
      </c>
      <c r="L228" s="168">
        <f ca="1">IF($C228-L$1&lt;År1,0,K227*(1-VLOOKUP($A228,[1]Hugst!$R$5:$W$9,MATCH(ROUNDUP((L$1)/10,0)*10,[1]Hugst!$R$4:$W$4,0))))</f>
        <v>156.80603899246489</v>
      </c>
      <c r="M228" s="168">
        <f ca="1">IF($C228-M$1&lt;År1,0,L227*(1-VLOOKUP($A228,[1]Hugst!$R$5:$W$9,MATCH(ROUNDUP((M$1)/10,0)*10,[1]Hugst!$R$4:$W$4,0))))</f>
        <v>157.59400903765709</v>
      </c>
      <c r="N228" s="168">
        <f ca="1">IF($C228-N$1&lt;År1,0,M227*(1-VLOOKUP($A228,[1]Hugst!$R$5:$W$9,MATCH(ROUNDUP((N$1)/10,0)*10,[1]Hugst!$R$4:$W$4,0))))</f>
        <v>158.38593873131322</v>
      </c>
      <c r="O228" s="168">
        <f ca="1">IF($C228-O$1&lt;År1,0,N227*(1-VLOOKUP($A228,[1]Hugst!$R$5:$W$9,MATCH(ROUNDUP((O$1)/10,0)*10,[1]Hugst!$R$4:$W$4,0))))</f>
        <v>159.18184797116919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177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151.3994681916447</v>
      </c>
      <c r="E229" s="168">
        <f t="shared" ca="1" si="5"/>
        <v>0.34942356871715674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151.74889176036186</v>
      </c>
      <c r="G229" s="168">
        <f ca="1">IF($C229-G$1&lt;År1,0,F228*(1-VLOOKUP($A229,[1]Hugst!$R$5:$W$9,MATCH(ROUNDUP((G$1)/10,0)*10,[1]Hugst!$R$4:$W$4,0))))</f>
        <v>152.16026953933761</v>
      </c>
      <c r="H229" s="168">
        <f ca="1">IF($C229-H$1&lt;År1,0,G228*(1-VLOOKUP($A229,[1]Hugst!$R$5:$W$9,MATCH(ROUNDUP((H$1)/10,0)*10,[1]Hugst!$R$4:$W$4,0))))</f>
        <v>152.92489400938575</v>
      </c>
      <c r="I229" s="168">
        <f ca="1">IF($C229-I$1&lt;År1,0,H228*(1-VLOOKUP($A229,[1]Hugst!$R$5:$W$9,MATCH(ROUNDUP((I$1)/10,0)*10,[1]Hugst!$R$4:$W$4,0))))</f>
        <v>153.69336081344954</v>
      </c>
      <c r="J229" s="168">
        <f ca="1">IF($C229-J$1&lt;År1,0,I228*(1-VLOOKUP($A229,[1]Hugst!$R$5:$W$9,MATCH(ROUNDUP((J$1)/10,0)*10,[1]Hugst!$R$4:$W$4,0))))</f>
        <v>154.46568925975589</v>
      </c>
      <c r="K229" s="168">
        <f ca="1">IF($C229-K$1&lt;År1,0,J228*(1-VLOOKUP($A229,[1]Hugst!$R$5:$W$9,MATCH(ROUNDUP((K$1)/10,0)*10,[1]Hugst!$R$4:$W$4,0))))</f>
        <v>155.24189875351658</v>
      </c>
      <c r="L229" s="168">
        <f ca="1">IF($C229-L$1&lt;År1,0,K228*(1-VLOOKUP($A229,[1]Hugst!$R$5:$W$9,MATCH(ROUNDUP((L$1)/10,0)*10,[1]Hugst!$R$4:$W$4,0))))</f>
        <v>156.02200879750671</v>
      </c>
      <c r="M229" s="168">
        <f ca="1">IF($C229-M$1&lt;År1,0,L228*(1-VLOOKUP($A229,[1]Hugst!$R$5:$W$9,MATCH(ROUNDUP((M$1)/10,0)*10,[1]Hugst!$R$4:$W$4,0))))</f>
        <v>156.80603899246489</v>
      </c>
      <c r="N229" s="168">
        <f ca="1">IF($C229-N$1&lt;År1,0,M228*(1-VLOOKUP($A229,[1]Hugst!$R$5:$W$9,MATCH(ROUNDUP((N$1)/10,0)*10,[1]Hugst!$R$4:$W$4,0))))</f>
        <v>157.59400903765709</v>
      </c>
      <c r="O229" s="168">
        <f ca="1">IF($C229-O$1&lt;År1,0,N228*(1-VLOOKUP($A229,[1]Hugst!$R$5:$W$9,MATCH(ROUNDUP((O$1)/10,0)*10,[1]Hugst!$R$4:$W$4,0))))</f>
        <v>158.38593873131322</v>
      </c>
      <c r="P229" s="168">
        <f ca="1">IF($C229-P$1&lt;År1,0,O228*(1-VLOOKUP($A229,[1]Hugst!$R$5:$W$9,MATCH(ROUNDUP((P$1)/10,0)*10,[1]Hugst!$R$4:$W$4,0))))</f>
        <v>158.83242440245198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177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150.64247085067836</v>
      </c>
      <c r="E230" s="168">
        <f t="shared" ca="1" si="5"/>
        <v>0.69633299224506118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151.33880384292343</v>
      </c>
      <c r="G230" s="168">
        <f ca="1">IF($C230-G$1&lt;År1,0,F229*(1-VLOOKUP($A230,[1]Hugst!$R$5:$W$9,MATCH(ROUNDUP((G$1)/10,0)*10,[1]Hugst!$R$4:$W$4,0))))</f>
        <v>151.74889176036186</v>
      </c>
      <c r="H230" s="168">
        <f ca="1">IF($C230-H$1&lt;År1,0,G229*(1-VLOOKUP($A230,[1]Hugst!$R$5:$W$9,MATCH(ROUNDUP((H$1)/10,0)*10,[1]Hugst!$R$4:$W$4,0))))</f>
        <v>152.16026953933761</v>
      </c>
      <c r="I230" s="168">
        <f ca="1">IF($C230-I$1&lt;År1,0,H229*(1-VLOOKUP($A230,[1]Hugst!$R$5:$W$9,MATCH(ROUNDUP((I$1)/10,0)*10,[1]Hugst!$R$4:$W$4,0))))</f>
        <v>152.92489400938575</v>
      </c>
      <c r="J230" s="168">
        <f ca="1">IF($C230-J$1&lt;År1,0,I229*(1-VLOOKUP($A230,[1]Hugst!$R$5:$W$9,MATCH(ROUNDUP((J$1)/10,0)*10,[1]Hugst!$R$4:$W$4,0))))</f>
        <v>153.69336081344954</v>
      </c>
      <c r="K230" s="168">
        <f ca="1">IF($C230-K$1&lt;År1,0,J229*(1-VLOOKUP($A230,[1]Hugst!$R$5:$W$9,MATCH(ROUNDUP((K$1)/10,0)*10,[1]Hugst!$R$4:$W$4,0))))</f>
        <v>154.46568925975589</v>
      </c>
      <c r="L230" s="168">
        <f ca="1">IF($C230-L$1&lt;År1,0,K229*(1-VLOOKUP($A230,[1]Hugst!$R$5:$W$9,MATCH(ROUNDUP((L$1)/10,0)*10,[1]Hugst!$R$4:$W$4,0))))</f>
        <v>155.24189875351658</v>
      </c>
      <c r="M230" s="168">
        <f ca="1">IF($C230-M$1&lt;År1,0,L229*(1-VLOOKUP($A230,[1]Hugst!$R$5:$W$9,MATCH(ROUNDUP((M$1)/10,0)*10,[1]Hugst!$R$4:$W$4,0))))</f>
        <v>156.02200879750671</v>
      </c>
      <c r="N230" s="168">
        <f ca="1">IF($C230-N$1&lt;År1,0,M229*(1-VLOOKUP($A230,[1]Hugst!$R$5:$W$9,MATCH(ROUNDUP((N$1)/10,0)*10,[1]Hugst!$R$4:$W$4,0))))</f>
        <v>156.80603899246489</v>
      </c>
      <c r="O230" s="168">
        <f ca="1">IF($C230-O$1&lt;År1,0,N229*(1-VLOOKUP($A230,[1]Hugst!$R$5:$W$9,MATCH(ROUNDUP((O$1)/10,0)*10,[1]Hugst!$R$4:$W$4,0))))</f>
        <v>157.59400903765709</v>
      </c>
      <c r="P230" s="168">
        <f ca="1">IF($C230-P$1&lt;År1,0,O229*(1-VLOOKUP($A230,[1]Hugst!$R$5:$W$9,MATCH(ROUNDUP((P$1)/10,0)*10,[1]Hugst!$R$4:$W$4,0))))</f>
        <v>158.0382622804396</v>
      </c>
      <c r="Q230" s="168">
        <f ca="1">IF($C230-Q$1&lt;År1,0,P229*(1-VLOOKUP($A230,[1]Hugst!$R$5:$W$9,MATCH(ROUNDUP((Q$1)/10,0)*10,[1]Hugst!$R$4:$W$4,0))))</f>
        <v>158.48376786108074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177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149.88925849643056</v>
      </c>
      <c r="E231" s="168">
        <f t="shared" ca="1" si="5"/>
        <v>1.0407425250273263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150.93000102145788</v>
      </c>
      <c r="G231" s="168">
        <f ca="1">IF($C231-G$1&lt;År1,0,F230*(1-VLOOKUP($A231,[1]Hugst!$R$5:$W$9,MATCH(ROUNDUP((G$1)/10,0)*10,[1]Hugst!$R$4:$W$4,0))))</f>
        <v>151.33880384292343</v>
      </c>
      <c r="H231" s="168">
        <f ca="1">IF($C231-H$1&lt;År1,0,G230*(1-VLOOKUP($A231,[1]Hugst!$R$5:$W$9,MATCH(ROUNDUP((H$1)/10,0)*10,[1]Hugst!$R$4:$W$4,0))))</f>
        <v>151.74889176036186</v>
      </c>
      <c r="I231" s="168">
        <f ca="1">IF($C231-I$1&lt;År1,0,H230*(1-VLOOKUP($A231,[1]Hugst!$R$5:$W$9,MATCH(ROUNDUP((I$1)/10,0)*10,[1]Hugst!$R$4:$W$4,0))))</f>
        <v>152.16026953933761</v>
      </c>
      <c r="J231" s="168">
        <f ca="1">IF($C231-J$1&lt;År1,0,I230*(1-VLOOKUP($A231,[1]Hugst!$R$5:$W$9,MATCH(ROUNDUP((J$1)/10,0)*10,[1]Hugst!$R$4:$W$4,0))))</f>
        <v>152.92489400938575</v>
      </c>
      <c r="K231" s="168">
        <f ca="1">IF($C231-K$1&lt;År1,0,J230*(1-VLOOKUP($A231,[1]Hugst!$R$5:$W$9,MATCH(ROUNDUP((K$1)/10,0)*10,[1]Hugst!$R$4:$W$4,0))))</f>
        <v>153.69336081344954</v>
      </c>
      <c r="L231" s="168">
        <f ca="1">IF($C231-L$1&lt;År1,0,K230*(1-VLOOKUP($A231,[1]Hugst!$R$5:$W$9,MATCH(ROUNDUP((L$1)/10,0)*10,[1]Hugst!$R$4:$W$4,0))))</f>
        <v>154.46568925975589</v>
      </c>
      <c r="M231" s="168">
        <f ca="1">IF($C231-M$1&lt;År1,0,L230*(1-VLOOKUP($A231,[1]Hugst!$R$5:$W$9,MATCH(ROUNDUP((M$1)/10,0)*10,[1]Hugst!$R$4:$W$4,0))))</f>
        <v>155.24189875351658</v>
      </c>
      <c r="N231" s="168">
        <f ca="1">IF($C231-N$1&lt;År1,0,M230*(1-VLOOKUP($A231,[1]Hugst!$R$5:$W$9,MATCH(ROUNDUP((N$1)/10,0)*10,[1]Hugst!$R$4:$W$4,0))))</f>
        <v>156.02200879750671</v>
      </c>
      <c r="O231" s="168">
        <f ca="1">IF($C231-O$1&lt;År1,0,N230*(1-VLOOKUP($A231,[1]Hugst!$R$5:$W$9,MATCH(ROUNDUP((O$1)/10,0)*10,[1]Hugst!$R$4:$W$4,0))))</f>
        <v>156.80603899246489</v>
      </c>
      <c r="P231" s="168">
        <f ca="1">IF($C231-P$1&lt;År1,0,O230*(1-VLOOKUP($A231,[1]Hugst!$R$5:$W$9,MATCH(ROUNDUP((P$1)/10,0)*10,[1]Hugst!$R$4:$W$4,0))))</f>
        <v>157.24807096903783</v>
      </c>
      <c r="Q231" s="168">
        <f ca="1">IF($C231-Q$1&lt;År1,0,P230*(1-VLOOKUP($A231,[1]Hugst!$R$5:$W$9,MATCH(ROUNDUP((Q$1)/10,0)*10,[1]Hugst!$R$4:$W$4,0))))</f>
        <v>157.69134902177521</v>
      </c>
      <c r="R231" s="168">
        <f ca="1">IF($C231-R$1&lt;År1,0,Q230*(1-VLOOKUP($A231,[1]Hugst!$R$5:$W$9,MATCH(ROUNDUP((R$1)/10,0)*10,[1]Hugst!$R$4:$W$4,0))))</f>
        <v>158.13587666333689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177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149.13981220394635</v>
      </c>
      <c r="E232" s="168">
        <f t="shared" ca="1" si="5"/>
        <v>1.3826663465413276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150.52247855048768</v>
      </c>
      <c r="G232" s="168">
        <f ca="1">IF($C232-G$1&lt;År1,0,F231*(1-VLOOKUP($A232,[1]Hugst!$R$5:$W$9,MATCH(ROUNDUP((G$1)/10,0)*10,[1]Hugst!$R$4:$W$4,0))))</f>
        <v>150.93000102145788</v>
      </c>
      <c r="H232" s="168">
        <f ca="1">IF($C232-H$1&lt;År1,0,G231*(1-VLOOKUP($A232,[1]Hugst!$R$5:$W$9,MATCH(ROUNDUP((H$1)/10,0)*10,[1]Hugst!$R$4:$W$4,0))))</f>
        <v>151.33880384292343</v>
      </c>
      <c r="I232" s="168">
        <f ca="1">IF($C232-I$1&lt;År1,0,H231*(1-VLOOKUP($A232,[1]Hugst!$R$5:$W$9,MATCH(ROUNDUP((I$1)/10,0)*10,[1]Hugst!$R$4:$W$4,0))))</f>
        <v>151.74889176036186</v>
      </c>
      <c r="J232" s="168">
        <f ca="1">IF($C232-J$1&lt;År1,0,I231*(1-VLOOKUP($A232,[1]Hugst!$R$5:$W$9,MATCH(ROUNDUP((J$1)/10,0)*10,[1]Hugst!$R$4:$W$4,0))))</f>
        <v>152.16026953933761</v>
      </c>
      <c r="K232" s="168">
        <f ca="1">IF($C232-K$1&lt;År1,0,J231*(1-VLOOKUP($A232,[1]Hugst!$R$5:$W$9,MATCH(ROUNDUP((K$1)/10,0)*10,[1]Hugst!$R$4:$W$4,0))))</f>
        <v>152.92489400938575</v>
      </c>
      <c r="L232" s="168">
        <f ca="1">IF($C232-L$1&lt;År1,0,K231*(1-VLOOKUP($A232,[1]Hugst!$R$5:$W$9,MATCH(ROUNDUP((L$1)/10,0)*10,[1]Hugst!$R$4:$W$4,0))))</f>
        <v>153.69336081344954</v>
      </c>
      <c r="M232" s="168">
        <f ca="1">IF($C232-M$1&lt;År1,0,L231*(1-VLOOKUP($A232,[1]Hugst!$R$5:$W$9,MATCH(ROUNDUP((M$1)/10,0)*10,[1]Hugst!$R$4:$W$4,0))))</f>
        <v>154.46568925975589</v>
      </c>
      <c r="N232" s="168">
        <f ca="1">IF($C232-N$1&lt;År1,0,M231*(1-VLOOKUP($A232,[1]Hugst!$R$5:$W$9,MATCH(ROUNDUP((N$1)/10,0)*10,[1]Hugst!$R$4:$W$4,0))))</f>
        <v>155.24189875351658</v>
      </c>
      <c r="O232" s="168">
        <f ca="1">IF($C232-O$1&lt;År1,0,N231*(1-VLOOKUP($A232,[1]Hugst!$R$5:$W$9,MATCH(ROUNDUP((O$1)/10,0)*10,[1]Hugst!$R$4:$W$4,0))))</f>
        <v>156.02200879750671</v>
      </c>
      <c r="P232" s="168">
        <f ca="1">IF($C232-P$1&lt;År1,0,O231*(1-VLOOKUP($A232,[1]Hugst!$R$5:$W$9,MATCH(ROUNDUP((P$1)/10,0)*10,[1]Hugst!$R$4:$W$4,0))))</f>
        <v>156.46183061418876</v>
      </c>
      <c r="Q232" s="168">
        <f ca="1">IF($C232-Q$1&lt;År1,0,P231*(1-VLOOKUP($A232,[1]Hugst!$R$5:$W$9,MATCH(ROUNDUP((Q$1)/10,0)*10,[1]Hugst!$R$4:$W$4,0))))</f>
        <v>156.90289227666676</v>
      </c>
      <c r="R232" s="168">
        <f ca="1">IF($C232-R$1&lt;År1,0,Q231*(1-VLOOKUP($A232,[1]Hugst!$R$5:$W$9,MATCH(ROUNDUP((R$1)/10,0)*10,[1]Hugst!$R$4:$W$4,0))))</f>
        <v>157.3451972800201</v>
      </c>
      <c r="S232" s="168">
        <f ca="1">IF($C232-S$1&lt;År1,0,R231*(1-VLOOKUP($A232,[1]Hugst!$R$5:$W$9,MATCH(ROUNDUP((S$1)/10,0)*10,[1]Hugst!$R$4:$W$4,0))))</f>
        <v>157.78874912919787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177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148.39411314292738</v>
      </c>
      <c r="E233" s="168">
        <f t="shared" ca="1" si="5"/>
        <v>1.7221185616776893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150.11623170460507</v>
      </c>
      <c r="G233" s="168">
        <f ca="1">IF($C233-G$1&lt;År1,0,F232*(1-VLOOKUP($A233,[1]Hugst!$R$5:$W$9,MATCH(ROUNDUP((G$1)/10,0)*10,[1]Hugst!$R$4:$W$4,0))))</f>
        <v>150.52247855048768</v>
      </c>
      <c r="H233" s="168">
        <f ca="1">IF($C233-H$1&lt;År1,0,G232*(1-VLOOKUP($A233,[1]Hugst!$R$5:$W$9,MATCH(ROUNDUP((H$1)/10,0)*10,[1]Hugst!$R$4:$W$4,0))))</f>
        <v>150.93000102145788</v>
      </c>
      <c r="I233" s="168">
        <f ca="1">IF($C233-I$1&lt;År1,0,H232*(1-VLOOKUP($A233,[1]Hugst!$R$5:$W$9,MATCH(ROUNDUP((I$1)/10,0)*10,[1]Hugst!$R$4:$W$4,0))))</f>
        <v>151.33880384292343</v>
      </c>
      <c r="J233" s="168">
        <f ca="1">IF($C233-J$1&lt;År1,0,I232*(1-VLOOKUP($A233,[1]Hugst!$R$5:$W$9,MATCH(ROUNDUP((J$1)/10,0)*10,[1]Hugst!$R$4:$W$4,0))))</f>
        <v>151.74889176036186</v>
      </c>
      <c r="K233" s="168">
        <f ca="1">IF($C233-K$1&lt;År1,0,J232*(1-VLOOKUP($A233,[1]Hugst!$R$5:$W$9,MATCH(ROUNDUP((K$1)/10,0)*10,[1]Hugst!$R$4:$W$4,0))))</f>
        <v>152.16026953933761</v>
      </c>
      <c r="L233" s="168">
        <f ca="1">IF($C233-L$1&lt;År1,0,K232*(1-VLOOKUP($A233,[1]Hugst!$R$5:$W$9,MATCH(ROUNDUP((L$1)/10,0)*10,[1]Hugst!$R$4:$W$4,0))))</f>
        <v>152.92489400938575</v>
      </c>
      <c r="M233" s="168">
        <f ca="1">IF($C233-M$1&lt;År1,0,L232*(1-VLOOKUP($A233,[1]Hugst!$R$5:$W$9,MATCH(ROUNDUP((M$1)/10,0)*10,[1]Hugst!$R$4:$W$4,0))))</f>
        <v>153.69336081344954</v>
      </c>
      <c r="N233" s="168">
        <f ca="1">IF($C233-N$1&lt;År1,0,M232*(1-VLOOKUP($A233,[1]Hugst!$R$5:$W$9,MATCH(ROUNDUP((N$1)/10,0)*10,[1]Hugst!$R$4:$W$4,0))))</f>
        <v>154.46568925975589</v>
      </c>
      <c r="O233" s="168">
        <f ca="1">IF($C233-O$1&lt;År1,0,N232*(1-VLOOKUP($A233,[1]Hugst!$R$5:$W$9,MATCH(ROUNDUP((O$1)/10,0)*10,[1]Hugst!$R$4:$W$4,0))))</f>
        <v>155.24189875351658</v>
      </c>
      <c r="P233" s="168">
        <f ca="1">IF($C233-P$1&lt;År1,0,O232*(1-VLOOKUP($A233,[1]Hugst!$R$5:$W$9,MATCH(ROUNDUP((P$1)/10,0)*10,[1]Hugst!$R$4:$W$4,0))))</f>
        <v>155.67952146112194</v>
      </c>
      <c r="Q233" s="168">
        <f ca="1">IF($C233-Q$1&lt;År1,0,P232*(1-VLOOKUP($A233,[1]Hugst!$R$5:$W$9,MATCH(ROUNDUP((Q$1)/10,0)*10,[1]Hugst!$R$4:$W$4,0))))</f>
        <v>156.11837781527956</v>
      </c>
      <c r="R233" s="168">
        <f ca="1">IF($C233-R$1&lt;År1,0,Q232*(1-VLOOKUP($A233,[1]Hugst!$R$5:$W$9,MATCH(ROUNDUP((R$1)/10,0)*10,[1]Hugst!$R$4:$W$4,0))))</f>
        <v>156.55847129362041</v>
      </c>
      <c r="S233" s="168">
        <f ca="1">IF($C233-S$1&lt;År1,0,R232*(1-VLOOKUP($A233,[1]Hugst!$R$5:$W$9,MATCH(ROUNDUP((S$1)/10,0)*10,[1]Hugst!$R$4:$W$4,0))))</f>
        <v>156.99980538355177</v>
      </c>
      <c r="T233" s="168">
        <f ca="1">IF($C233-T$1&lt;År1,0,S232*(1-VLOOKUP($A233,[1]Hugst!$R$5:$W$9,MATCH(ROUNDUP((T$1)/10,0)*10,[1]Hugst!$R$4:$W$4,0))))</f>
        <v>157.44238358232889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177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147.65214257721527</v>
      </c>
      <c r="E234" s="168">
        <f t="shared" ca="1" si="5"/>
        <v>2.0591132011227273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149.711255778338</v>
      </c>
      <c r="G234" s="168">
        <f ca="1">IF($C234-G$1&lt;År1,0,F233*(1-VLOOKUP($A234,[1]Hugst!$R$5:$W$9,MATCH(ROUNDUP((G$1)/10,0)*10,[1]Hugst!$R$4:$W$4,0))))</f>
        <v>150.11623170460507</v>
      </c>
      <c r="H234" s="168">
        <f ca="1">IF($C234-H$1&lt;År1,0,G233*(1-VLOOKUP($A234,[1]Hugst!$R$5:$W$9,MATCH(ROUNDUP((H$1)/10,0)*10,[1]Hugst!$R$4:$W$4,0))))</f>
        <v>150.52247855048768</v>
      </c>
      <c r="I234" s="168">
        <f ca="1">IF($C234-I$1&lt;År1,0,H233*(1-VLOOKUP($A234,[1]Hugst!$R$5:$W$9,MATCH(ROUNDUP((I$1)/10,0)*10,[1]Hugst!$R$4:$W$4,0))))</f>
        <v>150.93000102145788</v>
      </c>
      <c r="J234" s="168">
        <f ca="1">IF($C234-J$1&lt;År1,0,I233*(1-VLOOKUP($A234,[1]Hugst!$R$5:$W$9,MATCH(ROUNDUP((J$1)/10,0)*10,[1]Hugst!$R$4:$W$4,0))))</f>
        <v>151.33880384292343</v>
      </c>
      <c r="K234" s="168">
        <f ca="1">IF($C234-K$1&lt;År1,0,J233*(1-VLOOKUP($A234,[1]Hugst!$R$5:$W$9,MATCH(ROUNDUP((K$1)/10,0)*10,[1]Hugst!$R$4:$W$4,0))))</f>
        <v>151.74889176036186</v>
      </c>
      <c r="L234" s="168">
        <f ca="1">IF($C234-L$1&lt;År1,0,K233*(1-VLOOKUP($A234,[1]Hugst!$R$5:$W$9,MATCH(ROUNDUP((L$1)/10,0)*10,[1]Hugst!$R$4:$W$4,0))))</f>
        <v>152.16026953933761</v>
      </c>
      <c r="M234" s="168">
        <f ca="1">IF($C234-M$1&lt;År1,0,L233*(1-VLOOKUP($A234,[1]Hugst!$R$5:$W$9,MATCH(ROUNDUP((M$1)/10,0)*10,[1]Hugst!$R$4:$W$4,0))))</f>
        <v>152.92489400938575</v>
      </c>
      <c r="N234" s="168">
        <f ca="1">IF($C234-N$1&lt;År1,0,M233*(1-VLOOKUP($A234,[1]Hugst!$R$5:$W$9,MATCH(ROUNDUP((N$1)/10,0)*10,[1]Hugst!$R$4:$W$4,0))))</f>
        <v>153.69336081344954</v>
      </c>
      <c r="O234" s="168">
        <f ca="1">IF($C234-O$1&lt;År1,0,N233*(1-VLOOKUP($A234,[1]Hugst!$R$5:$W$9,MATCH(ROUNDUP((O$1)/10,0)*10,[1]Hugst!$R$4:$W$4,0))))</f>
        <v>154.46568925975589</v>
      </c>
      <c r="P234" s="168">
        <f ca="1">IF($C234-P$1&lt;År1,0,O233*(1-VLOOKUP($A234,[1]Hugst!$R$5:$W$9,MATCH(ROUNDUP((P$1)/10,0)*10,[1]Hugst!$R$4:$W$4,0))))</f>
        <v>154.90112385381374</v>
      </c>
      <c r="Q234" s="168">
        <f ca="1">IF($C234-Q$1&lt;År1,0,P233*(1-VLOOKUP($A234,[1]Hugst!$R$5:$W$9,MATCH(ROUNDUP((Q$1)/10,0)*10,[1]Hugst!$R$4:$W$4,0))))</f>
        <v>155.33778592620729</v>
      </c>
      <c r="R234" s="168">
        <f ca="1">IF($C234-R$1&lt;År1,0,Q233*(1-VLOOKUP($A234,[1]Hugst!$R$5:$W$9,MATCH(ROUNDUP((R$1)/10,0)*10,[1]Hugst!$R$4:$W$4,0))))</f>
        <v>155.77567893714846</v>
      </c>
      <c r="S234" s="168">
        <f ca="1">IF($C234-S$1&lt;År1,0,R233*(1-VLOOKUP($A234,[1]Hugst!$R$5:$W$9,MATCH(ROUNDUP((S$1)/10,0)*10,[1]Hugst!$R$4:$W$4,0))))</f>
        <v>156.21480635663443</v>
      </c>
      <c r="T234" s="168">
        <f ca="1">IF($C234-T$1&lt;År1,0,S233*(1-VLOOKUP($A234,[1]Hugst!$R$5:$W$9,MATCH(ROUNDUP((T$1)/10,0)*10,[1]Hugst!$R$4:$W$4,0))))</f>
        <v>156.65517166441714</v>
      </c>
      <c r="U234" s="168">
        <f ca="1">IF($C234-U$1&lt;År1,0,T233*(1-VLOOKUP($A234,[1]Hugst!$R$5:$W$9,MATCH(ROUNDUP((U$1)/10,0)*10,[1]Hugst!$R$4:$W$4,0))))</f>
        <v>157.096778350075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177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146.91388186432596</v>
      </c>
      <c r="E235" s="168">
        <f t="shared" ca="1" si="5"/>
        <v>2.3936642217395274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149.30754608606549</v>
      </c>
      <c r="G235" s="168">
        <f ca="1">IF($C235-G$1&lt;År1,0,F234*(1-VLOOKUP($A235,[1]Hugst!$R$5:$W$9,MATCH(ROUNDUP((G$1)/10,0)*10,[1]Hugst!$R$4:$W$4,0))))</f>
        <v>149.711255778338</v>
      </c>
      <c r="H235" s="168">
        <f ca="1">IF($C235-H$1&lt;År1,0,G234*(1-VLOOKUP($A235,[1]Hugst!$R$5:$W$9,MATCH(ROUNDUP((H$1)/10,0)*10,[1]Hugst!$R$4:$W$4,0))))</f>
        <v>150.11623170460507</v>
      </c>
      <c r="I235" s="168">
        <f ca="1">IF($C235-I$1&lt;År1,0,H234*(1-VLOOKUP($A235,[1]Hugst!$R$5:$W$9,MATCH(ROUNDUP((I$1)/10,0)*10,[1]Hugst!$R$4:$W$4,0))))</f>
        <v>150.52247855048768</v>
      </c>
      <c r="J235" s="168">
        <f ca="1">IF($C235-J$1&lt;År1,0,I234*(1-VLOOKUP($A235,[1]Hugst!$R$5:$W$9,MATCH(ROUNDUP((J$1)/10,0)*10,[1]Hugst!$R$4:$W$4,0))))</f>
        <v>150.93000102145788</v>
      </c>
      <c r="K235" s="168">
        <f ca="1">IF($C235-K$1&lt;År1,0,J234*(1-VLOOKUP($A235,[1]Hugst!$R$5:$W$9,MATCH(ROUNDUP((K$1)/10,0)*10,[1]Hugst!$R$4:$W$4,0))))</f>
        <v>151.33880384292343</v>
      </c>
      <c r="L235" s="168">
        <f ca="1">IF($C235-L$1&lt;År1,0,K234*(1-VLOOKUP($A235,[1]Hugst!$R$5:$W$9,MATCH(ROUNDUP((L$1)/10,0)*10,[1]Hugst!$R$4:$W$4,0))))</f>
        <v>151.74889176036186</v>
      </c>
      <c r="M235" s="168">
        <f ca="1">IF($C235-M$1&lt;År1,0,L234*(1-VLOOKUP($A235,[1]Hugst!$R$5:$W$9,MATCH(ROUNDUP((M$1)/10,0)*10,[1]Hugst!$R$4:$W$4,0))))</f>
        <v>152.16026953933761</v>
      </c>
      <c r="N235" s="168">
        <f ca="1">IF($C235-N$1&lt;År1,0,M234*(1-VLOOKUP($A235,[1]Hugst!$R$5:$W$9,MATCH(ROUNDUP((N$1)/10,0)*10,[1]Hugst!$R$4:$W$4,0))))</f>
        <v>152.92489400938575</v>
      </c>
      <c r="O235" s="168">
        <f ca="1">IF($C235-O$1&lt;År1,0,N234*(1-VLOOKUP($A235,[1]Hugst!$R$5:$W$9,MATCH(ROUNDUP((O$1)/10,0)*10,[1]Hugst!$R$4:$W$4,0))))</f>
        <v>153.69336081344954</v>
      </c>
      <c r="P235" s="168">
        <f ca="1">IF($C235-P$1&lt;År1,0,O234*(1-VLOOKUP($A235,[1]Hugst!$R$5:$W$9,MATCH(ROUNDUP((P$1)/10,0)*10,[1]Hugst!$R$4:$W$4,0))))</f>
        <v>154.12661823455156</v>
      </c>
      <c r="Q235" s="168">
        <f ca="1">IF($C235-Q$1&lt;År1,0,P234*(1-VLOOKUP($A235,[1]Hugst!$R$5:$W$9,MATCH(ROUNDUP((Q$1)/10,0)*10,[1]Hugst!$R$4:$W$4,0))))</f>
        <v>154.56109699657367</v>
      </c>
      <c r="R235" s="168">
        <f ca="1">IF($C235-R$1&lt;År1,0,Q234*(1-VLOOKUP($A235,[1]Hugst!$R$5:$W$9,MATCH(ROUNDUP((R$1)/10,0)*10,[1]Hugst!$R$4:$W$4,0))))</f>
        <v>154.99680054246684</v>
      </c>
      <c r="S235" s="168">
        <f ca="1">IF($C235-S$1&lt;År1,0,R234*(1-VLOOKUP($A235,[1]Hugst!$R$5:$W$9,MATCH(ROUNDUP((S$1)/10,0)*10,[1]Hugst!$R$4:$W$4,0))))</f>
        <v>155.4337323248474</v>
      </c>
      <c r="T235" s="168">
        <f ca="1">IF($C235-T$1&lt;År1,0,S234*(1-VLOOKUP($A235,[1]Hugst!$R$5:$W$9,MATCH(ROUNDUP((T$1)/10,0)*10,[1]Hugst!$R$4:$W$4,0))))</f>
        <v>155.87189580609547</v>
      </c>
      <c r="U235" s="168">
        <f ca="1">IF($C235-U$1&lt;År1,0,T234*(1-VLOOKUP($A235,[1]Hugst!$R$5:$W$9,MATCH(ROUNDUP((U$1)/10,0)*10,[1]Hugst!$R$4:$W$4,0))))</f>
        <v>156.31129445832451</v>
      </c>
      <c r="V235" s="168">
        <f ca="1">IF($C235-V$1&lt;År1,0,U234*(1-VLOOKUP($A235,[1]Hugst!$R$5:$W$9,MATCH(ROUNDUP((V$1)/10,0)*10,[1]Hugst!$R$4:$W$4,0))))</f>
        <v>156.75193176345289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177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146.17931245500586</v>
      </c>
      <c r="E236" s="168">
        <f t="shared" ca="1" si="5"/>
        <v>2.7257855069406105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148.90509796194647</v>
      </c>
      <c r="G236" s="168">
        <f ca="1">IF($C236-G$1&lt;År1,0,F235*(1-VLOOKUP($A236,[1]Hugst!$R$5:$W$9,MATCH(ROUNDUP((G$1)/10,0)*10,[1]Hugst!$R$4:$W$4,0))))</f>
        <v>149.30754608606549</v>
      </c>
      <c r="H236" s="168">
        <f ca="1">IF($C236-H$1&lt;År1,0,G235*(1-VLOOKUP($A236,[1]Hugst!$R$5:$W$9,MATCH(ROUNDUP((H$1)/10,0)*10,[1]Hugst!$R$4:$W$4,0))))</f>
        <v>149.711255778338</v>
      </c>
      <c r="I236" s="168">
        <f ca="1">IF($C236-I$1&lt;År1,0,H235*(1-VLOOKUP($A236,[1]Hugst!$R$5:$W$9,MATCH(ROUNDUP((I$1)/10,0)*10,[1]Hugst!$R$4:$W$4,0))))</f>
        <v>150.11623170460507</v>
      </c>
      <c r="J236" s="168">
        <f ca="1">IF($C236-J$1&lt;År1,0,I235*(1-VLOOKUP($A236,[1]Hugst!$R$5:$W$9,MATCH(ROUNDUP((J$1)/10,0)*10,[1]Hugst!$R$4:$W$4,0))))</f>
        <v>150.52247855048768</v>
      </c>
      <c r="K236" s="168">
        <f ca="1">IF($C236-K$1&lt;År1,0,J235*(1-VLOOKUP($A236,[1]Hugst!$R$5:$W$9,MATCH(ROUNDUP((K$1)/10,0)*10,[1]Hugst!$R$4:$W$4,0))))</f>
        <v>150.93000102145788</v>
      </c>
      <c r="L236" s="168">
        <f ca="1">IF($C236-L$1&lt;År1,0,K235*(1-VLOOKUP($A236,[1]Hugst!$R$5:$W$9,MATCH(ROUNDUP((L$1)/10,0)*10,[1]Hugst!$R$4:$W$4,0))))</f>
        <v>151.33880384292343</v>
      </c>
      <c r="M236" s="168">
        <f ca="1">IF($C236-M$1&lt;År1,0,L235*(1-VLOOKUP($A236,[1]Hugst!$R$5:$W$9,MATCH(ROUNDUP((M$1)/10,0)*10,[1]Hugst!$R$4:$W$4,0))))</f>
        <v>151.74889176036186</v>
      </c>
      <c r="N236" s="168">
        <f ca="1">IF($C236-N$1&lt;År1,0,M235*(1-VLOOKUP($A236,[1]Hugst!$R$5:$W$9,MATCH(ROUNDUP((N$1)/10,0)*10,[1]Hugst!$R$4:$W$4,0))))</f>
        <v>152.16026953933761</v>
      </c>
      <c r="O236" s="168">
        <f ca="1">IF($C236-O$1&lt;År1,0,N235*(1-VLOOKUP($A236,[1]Hugst!$R$5:$W$9,MATCH(ROUNDUP((O$1)/10,0)*10,[1]Hugst!$R$4:$W$4,0))))</f>
        <v>152.92489400938575</v>
      </c>
      <c r="P236" s="168">
        <f ca="1">IF($C236-P$1&lt;År1,0,O235*(1-VLOOKUP($A236,[1]Hugst!$R$5:$W$9,MATCH(ROUNDUP((P$1)/10,0)*10,[1]Hugst!$R$4:$W$4,0))))</f>
        <v>153.35598514337124</v>
      </c>
      <c r="Q236" s="168">
        <f ca="1">IF($C236-Q$1&lt;År1,0,P235*(1-VLOOKUP($A236,[1]Hugst!$R$5:$W$9,MATCH(ROUNDUP((Q$1)/10,0)*10,[1]Hugst!$R$4:$W$4,0))))</f>
        <v>153.78829151159766</v>
      </c>
      <c r="R236" s="168">
        <f ca="1">IF($C236-R$1&lt;År1,0,Q235*(1-VLOOKUP($A236,[1]Hugst!$R$5:$W$9,MATCH(ROUNDUP((R$1)/10,0)*10,[1]Hugst!$R$4:$W$4,0))))</f>
        <v>154.22181653975193</v>
      </c>
      <c r="S236" s="168">
        <f ca="1">IF($C236-S$1&lt;År1,0,R235*(1-VLOOKUP($A236,[1]Hugst!$R$5:$W$9,MATCH(ROUNDUP((S$1)/10,0)*10,[1]Hugst!$R$4:$W$4,0))))</f>
        <v>154.65656366322727</v>
      </c>
      <c r="T236" s="168">
        <f ca="1">IF($C236-T$1&lt;År1,0,S235*(1-VLOOKUP($A236,[1]Hugst!$R$5:$W$9,MATCH(ROUNDUP((T$1)/10,0)*10,[1]Hugst!$R$4:$W$4,0))))</f>
        <v>155.09253632706114</v>
      </c>
      <c r="U236" s="168">
        <f ca="1">IF($C236-U$1&lt;År1,0,T235*(1-VLOOKUP($A236,[1]Hugst!$R$5:$W$9,MATCH(ROUNDUP((U$1)/10,0)*10,[1]Hugst!$R$4:$W$4,0))))</f>
        <v>155.5297379860333</v>
      </c>
      <c r="V236" s="168">
        <f ca="1">IF($C236-V$1&lt;År1,0,U235*(1-VLOOKUP($A236,[1]Hugst!$R$5:$W$9,MATCH(ROUNDUP((V$1)/10,0)*10,[1]Hugst!$R$4:$W$4,0))))</f>
        <v>155.9681721046355</v>
      </c>
      <c r="W236" s="168">
        <f ca="1">IF($C236-W$1&lt;År1,0,V235*(1-VLOOKUP($A236,[1]Hugst!$R$5:$W$9,MATCH(ROUNDUP((W$1)/10,0)*10,[1]Hugst!$R$4:$W$4,0))))</f>
        <v>156.40784215714288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177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145.44841589273346</v>
      </c>
      <c r="E237" s="168">
        <f t="shared" ca="1" si="5"/>
        <v>3.055490867068329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148.50390675980179</v>
      </c>
      <c r="G237" s="168">
        <f ca="1">IF($C237-G$1&lt;År1,0,F236*(1-VLOOKUP($A237,[1]Hugst!$R$5:$W$9,MATCH(ROUNDUP((G$1)/10,0)*10,[1]Hugst!$R$4:$W$4,0))))</f>
        <v>148.90509796194647</v>
      </c>
      <c r="H237" s="168">
        <f ca="1">IF($C237-H$1&lt;År1,0,G236*(1-VLOOKUP($A237,[1]Hugst!$R$5:$W$9,MATCH(ROUNDUP((H$1)/10,0)*10,[1]Hugst!$R$4:$W$4,0))))</f>
        <v>149.30754608606549</v>
      </c>
      <c r="I237" s="168">
        <f ca="1">IF($C237-I$1&lt;År1,0,H236*(1-VLOOKUP($A237,[1]Hugst!$R$5:$W$9,MATCH(ROUNDUP((I$1)/10,0)*10,[1]Hugst!$R$4:$W$4,0))))</f>
        <v>149.711255778338</v>
      </c>
      <c r="J237" s="168">
        <f ca="1">IF($C237-J$1&lt;År1,0,I236*(1-VLOOKUP($A237,[1]Hugst!$R$5:$W$9,MATCH(ROUNDUP((J$1)/10,0)*10,[1]Hugst!$R$4:$W$4,0))))</f>
        <v>150.11623170460507</v>
      </c>
      <c r="K237" s="168">
        <f ca="1">IF($C237-K$1&lt;År1,0,J236*(1-VLOOKUP($A237,[1]Hugst!$R$5:$W$9,MATCH(ROUNDUP((K$1)/10,0)*10,[1]Hugst!$R$4:$W$4,0))))</f>
        <v>150.52247855048768</v>
      </c>
      <c r="L237" s="168">
        <f ca="1">IF($C237-L$1&lt;År1,0,K236*(1-VLOOKUP($A237,[1]Hugst!$R$5:$W$9,MATCH(ROUNDUP((L$1)/10,0)*10,[1]Hugst!$R$4:$W$4,0))))</f>
        <v>150.93000102145788</v>
      </c>
      <c r="M237" s="168">
        <f ca="1">IF($C237-M$1&lt;År1,0,L236*(1-VLOOKUP($A237,[1]Hugst!$R$5:$W$9,MATCH(ROUNDUP((M$1)/10,0)*10,[1]Hugst!$R$4:$W$4,0))))</f>
        <v>151.33880384292343</v>
      </c>
      <c r="N237" s="168">
        <f ca="1">IF($C237-N$1&lt;År1,0,M236*(1-VLOOKUP($A237,[1]Hugst!$R$5:$W$9,MATCH(ROUNDUP((N$1)/10,0)*10,[1]Hugst!$R$4:$W$4,0))))</f>
        <v>151.74889176036186</v>
      </c>
      <c r="O237" s="168">
        <f ca="1">IF($C237-O$1&lt;År1,0,N236*(1-VLOOKUP($A237,[1]Hugst!$R$5:$W$9,MATCH(ROUNDUP((O$1)/10,0)*10,[1]Hugst!$R$4:$W$4,0))))</f>
        <v>152.16026953933761</v>
      </c>
      <c r="P237" s="168">
        <f ca="1">IF($C237-P$1&lt;År1,0,O236*(1-VLOOKUP($A237,[1]Hugst!$R$5:$W$9,MATCH(ROUNDUP((P$1)/10,0)*10,[1]Hugst!$R$4:$W$4,0))))</f>
        <v>152.58920521765782</v>
      </c>
      <c r="Q237" s="168">
        <f ca="1">IF($C237-Q$1&lt;År1,0,P236*(1-VLOOKUP($A237,[1]Hugst!$R$5:$W$9,MATCH(ROUNDUP((Q$1)/10,0)*10,[1]Hugst!$R$4:$W$4,0))))</f>
        <v>153.01935005403215</v>
      </c>
      <c r="R237" s="168">
        <f ca="1">IF($C237-R$1&lt;År1,0,Q236*(1-VLOOKUP($A237,[1]Hugst!$R$5:$W$9,MATCH(ROUNDUP((R$1)/10,0)*10,[1]Hugst!$R$4:$W$4,0))))</f>
        <v>153.45070745706002</v>
      </c>
      <c r="S237" s="168">
        <f ca="1">IF($C237-S$1&lt;År1,0,R236*(1-VLOOKUP($A237,[1]Hugst!$R$5:$W$9,MATCH(ROUNDUP((S$1)/10,0)*10,[1]Hugst!$R$4:$W$4,0))))</f>
        <v>153.88328084490857</v>
      </c>
      <c r="T237" s="168">
        <f ca="1">IF($C237-T$1&lt;År1,0,S236*(1-VLOOKUP($A237,[1]Hugst!$R$5:$W$9,MATCH(ROUNDUP((T$1)/10,0)*10,[1]Hugst!$R$4:$W$4,0))))</f>
        <v>154.31707364542996</v>
      </c>
      <c r="U237" s="168">
        <f ca="1">IF($C237-U$1&lt;År1,0,T236*(1-VLOOKUP($A237,[1]Hugst!$R$5:$W$9,MATCH(ROUNDUP((U$1)/10,0)*10,[1]Hugst!$R$4:$W$4,0))))</f>
        <v>154.75208929609929</v>
      </c>
      <c r="V237" s="168">
        <f ca="1">IF($C237-V$1&lt;År1,0,U236*(1-VLOOKUP($A237,[1]Hugst!$R$5:$W$9,MATCH(ROUNDUP((V$1)/10,0)*10,[1]Hugst!$R$4:$W$4,0))))</f>
        <v>155.18833124411273</v>
      </c>
      <c r="W237" s="168">
        <f ca="1">IF($C237-W$1&lt;År1,0,V236*(1-VLOOKUP($A237,[1]Hugst!$R$5:$W$9,MATCH(ROUNDUP((W$1)/10,0)*10,[1]Hugst!$R$4:$W$4,0))))</f>
        <v>155.62580294635703</v>
      </c>
      <c r="X237" s="168">
        <f ca="1">IF($C237-X$1&lt;År1,0,W236*(1-VLOOKUP($A237,[1]Hugst!$R$5:$W$9,MATCH(ROUNDUP((X$1)/10,0)*10,[1]Hugst!$R$4:$W$4,0))))</f>
        <v>156.06450786948085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177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144.72117381326461</v>
      </c>
      <c r="E238" s="168">
        <f t="shared" ca="1" si="5"/>
        <v>3.3827940397632119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148.10396785302783</v>
      </c>
      <c r="G238" s="168">
        <f ca="1">IF($C238-G$1&lt;År1,0,F237*(1-VLOOKUP($A238,[1]Hugst!$R$5:$W$9,MATCH(ROUNDUP((G$1)/10,0)*10,[1]Hugst!$R$4:$W$4,0))))</f>
        <v>148.50390675980179</v>
      </c>
      <c r="H238" s="168">
        <f ca="1">IF($C238-H$1&lt;År1,0,G237*(1-VLOOKUP($A238,[1]Hugst!$R$5:$W$9,MATCH(ROUNDUP((H$1)/10,0)*10,[1]Hugst!$R$4:$W$4,0))))</f>
        <v>148.90509796194647</v>
      </c>
      <c r="I238" s="168">
        <f ca="1">IF($C238-I$1&lt;År1,0,H237*(1-VLOOKUP($A238,[1]Hugst!$R$5:$W$9,MATCH(ROUNDUP((I$1)/10,0)*10,[1]Hugst!$R$4:$W$4,0))))</f>
        <v>149.30754608606549</v>
      </c>
      <c r="J238" s="168">
        <f ca="1">IF($C238-J$1&lt;År1,0,I237*(1-VLOOKUP($A238,[1]Hugst!$R$5:$W$9,MATCH(ROUNDUP((J$1)/10,0)*10,[1]Hugst!$R$4:$W$4,0))))</f>
        <v>149.711255778338</v>
      </c>
      <c r="K238" s="168">
        <f ca="1">IF($C238-K$1&lt;År1,0,J237*(1-VLOOKUP($A238,[1]Hugst!$R$5:$W$9,MATCH(ROUNDUP((K$1)/10,0)*10,[1]Hugst!$R$4:$W$4,0))))</f>
        <v>150.11623170460507</v>
      </c>
      <c r="L238" s="168">
        <f ca="1">IF($C238-L$1&lt;År1,0,K237*(1-VLOOKUP($A238,[1]Hugst!$R$5:$W$9,MATCH(ROUNDUP((L$1)/10,0)*10,[1]Hugst!$R$4:$W$4,0))))</f>
        <v>150.52247855048768</v>
      </c>
      <c r="M238" s="168">
        <f ca="1">IF($C238-M$1&lt;År1,0,L237*(1-VLOOKUP($A238,[1]Hugst!$R$5:$W$9,MATCH(ROUNDUP((M$1)/10,0)*10,[1]Hugst!$R$4:$W$4,0))))</f>
        <v>150.93000102145788</v>
      </c>
      <c r="N238" s="168">
        <f ca="1">IF($C238-N$1&lt;År1,0,M237*(1-VLOOKUP($A238,[1]Hugst!$R$5:$W$9,MATCH(ROUNDUP((N$1)/10,0)*10,[1]Hugst!$R$4:$W$4,0))))</f>
        <v>151.33880384292343</v>
      </c>
      <c r="O238" s="168">
        <f ca="1">IF($C238-O$1&lt;År1,0,N237*(1-VLOOKUP($A238,[1]Hugst!$R$5:$W$9,MATCH(ROUNDUP((O$1)/10,0)*10,[1]Hugst!$R$4:$W$4,0))))</f>
        <v>151.74889176036186</v>
      </c>
      <c r="P238" s="168">
        <f ca="1">IF($C238-P$1&lt;År1,0,O237*(1-VLOOKUP($A238,[1]Hugst!$R$5:$W$9,MATCH(ROUNDUP((P$1)/10,0)*10,[1]Hugst!$R$4:$W$4,0))))</f>
        <v>151.82625919156834</v>
      </c>
      <c r="Q238" s="168">
        <f ca="1">IF($C238-Q$1&lt;År1,0,P237*(1-VLOOKUP($A238,[1]Hugst!$R$5:$W$9,MATCH(ROUNDUP((Q$1)/10,0)*10,[1]Hugst!$R$4:$W$4,0))))</f>
        <v>152.25425330376541</v>
      </c>
      <c r="R238" s="168">
        <f ca="1">IF($C238-R$1&lt;År1,0,Q237*(1-VLOOKUP($A238,[1]Hugst!$R$5:$W$9,MATCH(ROUNDUP((R$1)/10,0)*10,[1]Hugst!$R$4:$W$4,0))))</f>
        <v>152.6834539197672</v>
      </c>
      <c r="S238" s="168">
        <f ca="1">IF($C238-S$1&lt;År1,0,R237*(1-VLOOKUP($A238,[1]Hugst!$R$5:$W$9,MATCH(ROUNDUP((S$1)/10,0)*10,[1]Hugst!$R$4:$W$4,0))))</f>
        <v>153.11386444069086</v>
      </c>
      <c r="T238" s="168">
        <f ca="1">IF($C238-T$1&lt;År1,0,S237*(1-VLOOKUP($A238,[1]Hugst!$R$5:$W$9,MATCH(ROUNDUP((T$1)/10,0)*10,[1]Hugst!$R$4:$W$4,0))))</f>
        <v>153.54548827720023</v>
      </c>
      <c r="U238" s="168">
        <f ca="1">IF($C238-U$1&lt;År1,0,T237*(1-VLOOKUP($A238,[1]Hugst!$R$5:$W$9,MATCH(ROUNDUP((U$1)/10,0)*10,[1]Hugst!$R$4:$W$4,0))))</f>
        <v>153.97832884962293</v>
      </c>
      <c r="V238" s="168">
        <f ca="1">IF($C238-V$1&lt;År1,0,U237*(1-VLOOKUP($A238,[1]Hugst!$R$5:$W$9,MATCH(ROUNDUP((V$1)/10,0)*10,[1]Hugst!$R$4:$W$4,0))))</f>
        <v>154.41238958788833</v>
      </c>
      <c r="W238" s="168">
        <f ca="1">IF($C238-W$1&lt;År1,0,V237*(1-VLOOKUP($A238,[1]Hugst!$R$5:$W$9,MATCH(ROUNDUP((W$1)/10,0)*10,[1]Hugst!$R$4:$W$4,0))))</f>
        <v>154.84767393162565</v>
      </c>
      <c r="X238" s="168">
        <f ca="1">IF($C238-X$1&lt;År1,0,W237*(1-VLOOKUP($A238,[1]Hugst!$R$5:$W$9,MATCH(ROUNDUP((X$1)/10,0)*10,[1]Hugst!$R$4:$W$4,0))))</f>
        <v>155.28418533013331</v>
      </c>
      <c r="Y238" s="168">
        <f ca="1">IF($C238-Y$1&lt;År1,0,X237*(1-VLOOKUP($A238,[1]Hugst!$R$5:$W$9,MATCH(ROUNDUP((Y$1)/10,0)*10,[1]Hugst!$R$4:$W$4,0))))</f>
        <v>155.72192724245028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177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143.99756794419955</v>
      </c>
      <c r="E239" s="168">
        <f t="shared" ca="1" si="5"/>
        <v>3.5565518862304089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147.55411983042995</v>
      </c>
      <c r="G239" s="168">
        <f ca="1">IF($C239-G$1&lt;År1,0,F238*(1-VLOOKUP($A239,[1]Hugst!$R$5:$W$9,MATCH(ROUNDUP((G$1)/10,0)*10,[1]Hugst!$R$4:$W$4,0))))</f>
        <v>148.10396785302783</v>
      </c>
      <c r="H239" s="168">
        <f ca="1">IF($C239-H$1&lt;År1,0,G238*(1-VLOOKUP($A239,[1]Hugst!$R$5:$W$9,MATCH(ROUNDUP((H$1)/10,0)*10,[1]Hugst!$R$4:$W$4,0))))</f>
        <v>148.50390675980179</v>
      </c>
      <c r="I239" s="168">
        <f ca="1">IF($C239-I$1&lt;År1,0,H238*(1-VLOOKUP($A239,[1]Hugst!$R$5:$W$9,MATCH(ROUNDUP((I$1)/10,0)*10,[1]Hugst!$R$4:$W$4,0))))</f>
        <v>148.90509796194647</v>
      </c>
      <c r="J239" s="168">
        <f ca="1">IF($C239-J$1&lt;År1,0,I238*(1-VLOOKUP($A239,[1]Hugst!$R$5:$W$9,MATCH(ROUNDUP((J$1)/10,0)*10,[1]Hugst!$R$4:$W$4,0))))</f>
        <v>149.30754608606549</v>
      </c>
      <c r="K239" s="168">
        <f ca="1">IF($C239-K$1&lt;År1,0,J238*(1-VLOOKUP($A239,[1]Hugst!$R$5:$W$9,MATCH(ROUNDUP((K$1)/10,0)*10,[1]Hugst!$R$4:$W$4,0))))</f>
        <v>149.711255778338</v>
      </c>
      <c r="L239" s="168">
        <f ca="1">IF($C239-L$1&lt;År1,0,K238*(1-VLOOKUP($A239,[1]Hugst!$R$5:$W$9,MATCH(ROUNDUP((L$1)/10,0)*10,[1]Hugst!$R$4:$W$4,0))))</f>
        <v>150.11623170460507</v>
      </c>
      <c r="M239" s="168">
        <f ca="1">IF($C239-M$1&lt;År1,0,L238*(1-VLOOKUP($A239,[1]Hugst!$R$5:$W$9,MATCH(ROUNDUP((M$1)/10,0)*10,[1]Hugst!$R$4:$W$4,0))))</f>
        <v>150.52247855048768</v>
      </c>
      <c r="N239" s="168">
        <f ca="1">IF($C239-N$1&lt;År1,0,M238*(1-VLOOKUP($A239,[1]Hugst!$R$5:$W$9,MATCH(ROUNDUP((N$1)/10,0)*10,[1]Hugst!$R$4:$W$4,0))))</f>
        <v>150.93000102145788</v>
      </c>
      <c r="O239" s="168">
        <f ca="1">IF($C239-O$1&lt;År1,0,N238*(1-VLOOKUP($A239,[1]Hugst!$R$5:$W$9,MATCH(ROUNDUP((O$1)/10,0)*10,[1]Hugst!$R$4:$W$4,0))))</f>
        <v>151.33880384292343</v>
      </c>
      <c r="P239" s="168">
        <f ca="1">IF($C239-P$1&lt;År1,0,O238*(1-VLOOKUP($A239,[1]Hugst!$R$5:$W$9,MATCH(ROUNDUP((P$1)/10,0)*10,[1]Hugst!$R$4:$W$4,0))))</f>
        <v>151.41578443698546</v>
      </c>
      <c r="Q239" s="168">
        <f ca="1">IF($C239-Q$1&lt;År1,0,P238*(1-VLOOKUP($A239,[1]Hugst!$R$5:$W$9,MATCH(ROUNDUP((Q$1)/10,0)*10,[1]Hugst!$R$4:$W$4,0))))</f>
        <v>151.49298203724538</v>
      </c>
      <c r="R239" s="168">
        <f ca="1">IF($C239-R$1&lt;År1,0,Q238*(1-VLOOKUP($A239,[1]Hugst!$R$5:$W$9,MATCH(ROUNDUP((R$1)/10,0)*10,[1]Hugst!$R$4:$W$4,0))))</f>
        <v>151.92003665017177</v>
      </c>
      <c r="S239" s="168">
        <f ca="1">IF($C239-S$1&lt;År1,0,R238*(1-VLOOKUP($A239,[1]Hugst!$R$5:$W$9,MATCH(ROUNDUP((S$1)/10,0)*10,[1]Hugst!$R$4:$W$4,0))))</f>
        <v>152.34829511847991</v>
      </c>
      <c r="T239" s="168">
        <f ca="1">IF($C239-T$1&lt;År1,0,S238*(1-VLOOKUP($A239,[1]Hugst!$R$5:$W$9,MATCH(ROUNDUP((T$1)/10,0)*10,[1]Hugst!$R$4:$W$4,0))))</f>
        <v>152.77776083582106</v>
      </c>
      <c r="U239" s="168">
        <f ca="1">IF($C239-U$1&lt;År1,0,T238*(1-VLOOKUP($A239,[1]Hugst!$R$5:$W$9,MATCH(ROUNDUP((U$1)/10,0)*10,[1]Hugst!$R$4:$W$4,0))))</f>
        <v>153.20843720537223</v>
      </c>
      <c r="V239" s="168">
        <f ca="1">IF($C239-V$1&lt;År1,0,U238*(1-VLOOKUP($A239,[1]Hugst!$R$5:$W$9,MATCH(ROUNDUP((V$1)/10,0)*10,[1]Hugst!$R$4:$W$4,0))))</f>
        <v>153.64032763995303</v>
      </c>
      <c r="W239" s="168">
        <f ca="1">IF($C239-W$1&lt;År1,0,V238*(1-VLOOKUP($A239,[1]Hugst!$R$5:$W$9,MATCH(ROUNDUP((W$1)/10,0)*10,[1]Hugst!$R$4:$W$4,0))))</f>
        <v>154.07343556196369</v>
      </c>
      <c r="X239" s="168">
        <f ca="1">IF($C239-X$1&lt;År1,0,W238*(1-VLOOKUP($A239,[1]Hugst!$R$5:$W$9,MATCH(ROUNDUP((X$1)/10,0)*10,[1]Hugst!$R$4:$W$4,0))))</f>
        <v>154.50776440348307</v>
      </c>
      <c r="Y239" s="168">
        <f ca="1">IF($C239-Y$1&lt;År1,0,X238*(1-VLOOKUP($A239,[1]Hugst!$R$5:$W$9,MATCH(ROUNDUP((Y$1)/10,0)*10,[1]Hugst!$R$4:$W$4,0))))</f>
        <v>154.94331760623788</v>
      </c>
      <c r="Z239" s="168">
        <f ca="1">IF($C239-Z$1&lt;År1,0,Y238*(1-VLOOKUP($A239,[1]Hugst!$R$5:$W$9,MATCH(ROUNDUP((Z$1)/10,0)*10,[1]Hugst!$R$4:$W$4,0))))</f>
        <v>155.53202245313022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177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143.27758010448088</v>
      </c>
      <c r="E240" s="168">
        <f t="shared" ca="1" si="5"/>
        <v>3.729973012168557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147.00755311664943</v>
      </c>
      <c r="G240" s="168">
        <f ca="1">IF($C240-G$1&lt;År1,0,F239*(1-VLOOKUP($A240,[1]Hugst!$R$5:$W$9,MATCH(ROUNDUP((G$1)/10,0)*10,[1]Hugst!$R$4:$W$4,0))))</f>
        <v>147.55411983042995</v>
      </c>
      <c r="H240" s="168">
        <f ca="1">IF($C240-H$1&lt;År1,0,G239*(1-VLOOKUP($A240,[1]Hugst!$R$5:$W$9,MATCH(ROUNDUP((H$1)/10,0)*10,[1]Hugst!$R$4:$W$4,0))))</f>
        <v>148.10396785302783</v>
      </c>
      <c r="I240" s="168">
        <f ca="1">IF($C240-I$1&lt;År1,0,H239*(1-VLOOKUP($A240,[1]Hugst!$R$5:$W$9,MATCH(ROUNDUP((I$1)/10,0)*10,[1]Hugst!$R$4:$W$4,0))))</f>
        <v>148.50390675980179</v>
      </c>
      <c r="J240" s="168">
        <f ca="1">IF($C240-J$1&lt;År1,0,I239*(1-VLOOKUP($A240,[1]Hugst!$R$5:$W$9,MATCH(ROUNDUP((J$1)/10,0)*10,[1]Hugst!$R$4:$W$4,0))))</f>
        <v>148.90509796194647</v>
      </c>
      <c r="K240" s="168">
        <f ca="1">IF($C240-K$1&lt;År1,0,J239*(1-VLOOKUP($A240,[1]Hugst!$R$5:$W$9,MATCH(ROUNDUP((K$1)/10,0)*10,[1]Hugst!$R$4:$W$4,0))))</f>
        <v>149.30754608606549</v>
      </c>
      <c r="L240" s="168">
        <f ca="1">IF($C240-L$1&lt;År1,0,K239*(1-VLOOKUP($A240,[1]Hugst!$R$5:$W$9,MATCH(ROUNDUP((L$1)/10,0)*10,[1]Hugst!$R$4:$W$4,0))))</f>
        <v>149.711255778338</v>
      </c>
      <c r="M240" s="168">
        <f ca="1">IF($C240-M$1&lt;År1,0,L239*(1-VLOOKUP($A240,[1]Hugst!$R$5:$W$9,MATCH(ROUNDUP((M$1)/10,0)*10,[1]Hugst!$R$4:$W$4,0))))</f>
        <v>150.11623170460507</v>
      </c>
      <c r="N240" s="168">
        <f ca="1">IF($C240-N$1&lt;År1,0,M239*(1-VLOOKUP($A240,[1]Hugst!$R$5:$W$9,MATCH(ROUNDUP((N$1)/10,0)*10,[1]Hugst!$R$4:$W$4,0))))</f>
        <v>150.52247855048768</v>
      </c>
      <c r="O240" s="168">
        <f ca="1">IF($C240-O$1&lt;År1,0,N239*(1-VLOOKUP($A240,[1]Hugst!$R$5:$W$9,MATCH(ROUNDUP((O$1)/10,0)*10,[1]Hugst!$R$4:$W$4,0))))</f>
        <v>150.93000102145788</v>
      </c>
      <c r="P240" s="168">
        <f ca="1">IF($C240-P$1&lt;År1,0,O239*(1-VLOOKUP($A240,[1]Hugst!$R$5:$W$9,MATCH(ROUNDUP((P$1)/10,0)*10,[1]Hugst!$R$4:$W$4,0))))</f>
        <v>151.00659671253652</v>
      </c>
      <c r="Q240" s="168">
        <f ca="1">IF($C240-Q$1&lt;År1,0,P239*(1-VLOOKUP($A240,[1]Hugst!$R$5:$W$9,MATCH(ROUNDUP((Q$1)/10,0)*10,[1]Hugst!$R$4:$W$4,0))))</f>
        <v>151.08340832480673</v>
      </c>
      <c r="R240" s="168">
        <f ca="1">IF($C240-R$1&lt;År1,0,Q239*(1-VLOOKUP($A240,[1]Hugst!$R$5:$W$9,MATCH(ROUNDUP((R$1)/10,0)*10,[1]Hugst!$R$4:$W$4,0))))</f>
        <v>151.16043646691972</v>
      </c>
      <c r="S240" s="168">
        <f ca="1">IF($C240-S$1&lt;År1,0,R239*(1-VLOOKUP($A240,[1]Hugst!$R$5:$W$9,MATCH(ROUNDUP((S$1)/10,0)*10,[1]Hugst!$R$4:$W$4,0))))</f>
        <v>151.58655364289089</v>
      </c>
      <c r="T240" s="168">
        <f ca="1">IF($C240-T$1&lt;År1,0,S239*(1-VLOOKUP($A240,[1]Hugst!$R$5:$W$9,MATCH(ROUNDUP((T$1)/10,0)*10,[1]Hugst!$R$4:$W$4,0))))</f>
        <v>152.01387203163446</v>
      </c>
      <c r="U240" s="168">
        <f ca="1">IF($C240-U$1&lt;År1,0,T239*(1-VLOOKUP($A240,[1]Hugst!$R$5:$W$9,MATCH(ROUNDUP((U$1)/10,0)*10,[1]Hugst!$R$4:$W$4,0))))</f>
        <v>152.44239501935218</v>
      </c>
      <c r="V240" s="168">
        <f ca="1">IF($C240-V$1&lt;År1,0,U239*(1-VLOOKUP($A240,[1]Hugst!$R$5:$W$9,MATCH(ROUNDUP((V$1)/10,0)*10,[1]Hugst!$R$4:$W$4,0))))</f>
        <v>152.87212600175067</v>
      </c>
      <c r="W240" s="168">
        <f ca="1">IF($C240-W$1&lt;År1,0,V239*(1-VLOOKUP($A240,[1]Hugst!$R$5:$W$9,MATCH(ROUNDUP((W$1)/10,0)*10,[1]Hugst!$R$4:$W$4,0))))</f>
        <v>153.303068384158</v>
      </c>
      <c r="X240" s="168">
        <f ca="1">IF($C240-X$1&lt;År1,0,W239*(1-VLOOKUP($A240,[1]Hugst!$R$5:$W$9,MATCH(ROUNDUP((X$1)/10,0)*10,[1]Hugst!$R$4:$W$4,0))))</f>
        <v>153.73522558146183</v>
      </c>
      <c r="Y240" s="168">
        <f ca="1">IF($C240-Y$1&lt;År1,0,X239*(1-VLOOKUP($A240,[1]Hugst!$R$5:$W$9,MATCH(ROUNDUP((Y$1)/10,0)*10,[1]Hugst!$R$4:$W$4,0))))</f>
        <v>154.16860101820711</v>
      </c>
      <c r="Z240" s="168">
        <f ca="1">IF($C240-Z$1&lt;År1,0,Y239*(1-VLOOKUP($A240,[1]Hugst!$R$5:$W$9,MATCH(ROUNDUP((Z$1)/10,0)*10,[1]Hugst!$R$4:$W$4,0))))</f>
        <v>154.75436234086442</v>
      </c>
      <c r="AA240" s="168">
        <f ca="1">IF($C240-AA$1&lt;År1,0,Z239*(1-VLOOKUP($A240,[1]Hugst!$R$5:$W$9,MATCH(ROUNDUP((AA$1)/10,0)*10,[1]Hugst!$R$4:$W$4,0))))</f>
        <v>155.34234925501664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177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142.56119220395703</v>
      </c>
      <c r="E241" s="168">
        <f t="shared" ca="1" si="5"/>
        <v>3.9030560272572075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146.46424823121424</v>
      </c>
      <c r="G241" s="168">
        <f ca="1">IF($C241-G$1&lt;År1,0,F240*(1-VLOOKUP($A241,[1]Hugst!$R$5:$W$9,MATCH(ROUNDUP((G$1)/10,0)*10,[1]Hugst!$R$4:$W$4,0))))</f>
        <v>147.00755311664943</v>
      </c>
      <c r="H241" s="168">
        <f ca="1">IF($C241-H$1&lt;År1,0,G240*(1-VLOOKUP($A241,[1]Hugst!$R$5:$W$9,MATCH(ROUNDUP((H$1)/10,0)*10,[1]Hugst!$R$4:$W$4,0))))</f>
        <v>147.55411983042995</v>
      </c>
      <c r="I241" s="168">
        <f ca="1">IF($C241-I$1&lt;År1,0,H240*(1-VLOOKUP($A241,[1]Hugst!$R$5:$W$9,MATCH(ROUNDUP((I$1)/10,0)*10,[1]Hugst!$R$4:$W$4,0))))</f>
        <v>148.10396785302783</v>
      </c>
      <c r="J241" s="168">
        <f ca="1">IF($C241-J$1&lt;År1,0,I240*(1-VLOOKUP($A241,[1]Hugst!$R$5:$W$9,MATCH(ROUNDUP((J$1)/10,0)*10,[1]Hugst!$R$4:$W$4,0))))</f>
        <v>148.50390675980179</v>
      </c>
      <c r="K241" s="168">
        <f ca="1">IF($C241-K$1&lt;År1,0,J240*(1-VLOOKUP($A241,[1]Hugst!$R$5:$W$9,MATCH(ROUNDUP((K$1)/10,0)*10,[1]Hugst!$R$4:$W$4,0))))</f>
        <v>148.90509796194647</v>
      </c>
      <c r="L241" s="168">
        <f ca="1">IF($C241-L$1&lt;År1,0,K240*(1-VLOOKUP($A241,[1]Hugst!$R$5:$W$9,MATCH(ROUNDUP((L$1)/10,0)*10,[1]Hugst!$R$4:$W$4,0))))</f>
        <v>149.30754608606549</v>
      </c>
      <c r="M241" s="168">
        <f ca="1">IF($C241-M$1&lt;År1,0,L240*(1-VLOOKUP($A241,[1]Hugst!$R$5:$W$9,MATCH(ROUNDUP((M$1)/10,0)*10,[1]Hugst!$R$4:$W$4,0))))</f>
        <v>149.711255778338</v>
      </c>
      <c r="N241" s="168">
        <f ca="1">IF($C241-N$1&lt;År1,0,M240*(1-VLOOKUP($A241,[1]Hugst!$R$5:$W$9,MATCH(ROUNDUP((N$1)/10,0)*10,[1]Hugst!$R$4:$W$4,0))))</f>
        <v>150.11623170460507</v>
      </c>
      <c r="O241" s="168">
        <f ca="1">IF($C241-O$1&lt;År1,0,N240*(1-VLOOKUP($A241,[1]Hugst!$R$5:$W$9,MATCH(ROUNDUP((O$1)/10,0)*10,[1]Hugst!$R$4:$W$4,0))))</f>
        <v>150.52247855048768</v>
      </c>
      <c r="P241" s="168">
        <f ca="1">IF($C241-P$1&lt;År1,0,O240*(1-VLOOKUP($A241,[1]Hugst!$R$5:$W$9,MATCH(ROUNDUP((P$1)/10,0)*10,[1]Hugst!$R$4:$W$4,0))))</f>
        <v>150.5986912631181</v>
      </c>
      <c r="Q241" s="168">
        <f ca="1">IF($C241-Q$1&lt;År1,0,P240*(1-VLOOKUP($A241,[1]Hugst!$R$5:$W$9,MATCH(ROUNDUP((Q$1)/10,0)*10,[1]Hugst!$R$4:$W$4,0))))</f>
        <v>150.67511881731389</v>
      </c>
      <c r="R241" s="168">
        <f ca="1">IF($C241-R$1&lt;År1,0,Q240*(1-VLOOKUP($A241,[1]Hugst!$R$5:$W$9,MATCH(ROUNDUP((R$1)/10,0)*10,[1]Hugst!$R$4:$W$4,0))))</f>
        <v>150.75176181872789</v>
      </c>
      <c r="S241" s="168">
        <f ca="1">IF($C241-S$1&lt;År1,0,R240*(1-VLOOKUP($A241,[1]Hugst!$R$5:$W$9,MATCH(ROUNDUP((S$1)/10,0)*10,[1]Hugst!$R$4:$W$4,0))))</f>
        <v>150.82862087467527</v>
      </c>
      <c r="T241" s="168">
        <f ca="1">IF($C241-T$1&lt;År1,0,S240*(1-VLOOKUP($A241,[1]Hugst!$R$5:$W$9,MATCH(ROUNDUP((T$1)/10,0)*10,[1]Hugst!$R$4:$W$4,0))))</f>
        <v>151.25380267147966</v>
      </c>
      <c r="U241" s="168">
        <f ca="1">IF($C241-U$1&lt;År1,0,T240*(1-VLOOKUP($A241,[1]Hugst!$R$5:$W$9,MATCH(ROUNDUP((U$1)/10,0)*10,[1]Hugst!$R$4:$W$4,0))))</f>
        <v>151.68018304424794</v>
      </c>
      <c r="V241" s="168">
        <f ca="1">IF($C241-V$1&lt;År1,0,U240*(1-VLOOKUP($A241,[1]Hugst!$R$5:$W$9,MATCH(ROUNDUP((V$1)/10,0)*10,[1]Hugst!$R$4:$W$4,0))))</f>
        <v>152.10776537174871</v>
      </c>
      <c r="W241" s="168">
        <f ca="1">IF($C241-W$1&lt;År1,0,V240*(1-VLOOKUP($A241,[1]Hugst!$R$5:$W$9,MATCH(ROUNDUP((W$1)/10,0)*10,[1]Hugst!$R$4:$W$4,0))))</f>
        <v>152.53655304223463</v>
      </c>
      <c r="X241" s="168">
        <f ca="1">IF($C241-X$1&lt;År1,0,W240*(1-VLOOKUP($A241,[1]Hugst!$R$5:$W$9,MATCH(ROUNDUP((X$1)/10,0)*10,[1]Hugst!$R$4:$W$4,0))))</f>
        <v>152.96654945355863</v>
      </c>
      <c r="Y241" s="168">
        <f ca="1">IF($C241-Y$1&lt;År1,0,X240*(1-VLOOKUP($A241,[1]Hugst!$R$5:$W$9,MATCH(ROUNDUP((Y$1)/10,0)*10,[1]Hugst!$R$4:$W$4,0))))</f>
        <v>153.39775801311228</v>
      </c>
      <c r="Z241" s="168">
        <f ca="1">IF($C241-Z$1&lt;År1,0,Y240*(1-VLOOKUP($A241,[1]Hugst!$R$5:$W$9,MATCH(ROUNDUP((Z$1)/10,0)*10,[1]Hugst!$R$4:$W$4,0))))</f>
        <v>153.98059052916051</v>
      </c>
      <c r="AA241" s="168">
        <f ca="1">IF($C241-AA$1&lt;År1,0,Z240*(1-VLOOKUP($A241,[1]Hugst!$R$5:$W$9,MATCH(ROUNDUP((AA$1)/10,0)*10,[1]Hugst!$R$4:$W$4,0))))</f>
        <v>154.56563750874142</v>
      </c>
      <c r="AB241" s="168">
        <f ca="1">IF($C241-AB$1&lt;År1,0,AA240*(1-VLOOKUP($A241,[1]Hugst!$R$5:$W$9,MATCH(ROUNDUP((AB$1)/10,0)*10,[1]Hugst!$R$4:$W$4,0))))</f>
        <v>155.15290736568124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177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141.84838624293843</v>
      </c>
      <c r="E242" s="168">
        <f t="shared" ca="1" si="5"/>
        <v>4.075799558842391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145.92418580178082</v>
      </c>
      <c r="G242" s="168">
        <f ca="1">IF($C242-G$1&lt;År1,0,F241*(1-VLOOKUP($A242,[1]Hugst!$R$5:$W$9,MATCH(ROUNDUP((G$1)/10,0)*10,[1]Hugst!$R$4:$W$4,0))))</f>
        <v>146.46424823121424</v>
      </c>
      <c r="H242" s="168">
        <f ca="1">IF($C242-H$1&lt;År1,0,G241*(1-VLOOKUP($A242,[1]Hugst!$R$5:$W$9,MATCH(ROUNDUP((H$1)/10,0)*10,[1]Hugst!$R$4:$W$4,0))))</f>
        <v>147.00755311664943</v>
      </c>
      <c r="I242" s="168">
        <f ca="1">IF($C242-I$1&lt;År1,0,H241*(1-VLOOKUP($A242,[1]Hugst!$R$5:$W$9,MATCH(ROUNDUP((I$1)/10,0)*10,[1]Hugst!$R$4:$W$4,0))))</f>
        <v>147.55411983042995</v>
      </c>
      <c r="J242" s="168">
        <f ca="1">IF($C242-J$1&lt;År1,0,I241*(1-VLOOKUP($A242,[1]Hugst!$R$5:$W$9,MATCH(ROUNDUP((J$1)/10,0)*10,[1]Hugst!$R$4:$W$4,0))))</f>
        <v>148.10396785302783</v>
      </c>
      <c r="K242" s="168">
        <f ca="1">IF($C242-K$1&lt;År1,0,J241*(1-VLOOKUP($A242,[1]Hugst!$R$5:$W$9,MATCH(ROUNDUP((K$1)/10,0)*10,[1]Hugst!$R$4:$W$4,0))))</f>
        <v>148.50390675980179</v>
      </c>
      <c r="L242" s="168">
        <f ca="1">IF($C242-L$1&lt;År1,0,K241*(1-VLOOKUP($A242,[1]Hugst!$R$5:$W$9,MATCH(ROUNDUP((L$1)/10,0)*10,[1]Hugst!$R$4:$W$4,0))))</f>
        <v>148.90509796194647</v>
      </c>
      <c r="M242" s="168">
        <f ca="1">IF($C242-M$1&lt;År1,0,L241*(1-VLOOKUP($A242,[1]Hugst!$R$5:$W$9,MATCH(ROUNDUP((M$1)/10,0)*10,[1]Hugst!$R$4:$W$4,0))))</f>
        <v>149.30754608606549</v>
      </c>
      <c r="N242" s="168">
        <f ca="1">IF($C242-N$1&lt;År1,0,M241*(1-VLOOKUP($A242,[1]Hugst!$R$5:$W$9,MATCH(ROUNDUP((N$1)/10,0)*10,[1]Hugst!$R$4:$W$4,0))))</f>
        <v>149.711255778338</v>
      </c>
      <c r="O242" s="168">
        <f ca="1">IF($C242-O$1&lt;År1,0,N241*(1-VLOOKUP($A242,[1]Hugst!$R$5:$W$9,MATCH(ROUNDUP((O$1)/10,0)*10,[1]Hugst!$R$4:$W$4,0))))</f>
        <v>150.11623170460507</v>
      </c>
      <c r="P242" s="168">
        <f ca="1">IF($C242-P$1&lt;År1,0,O241*(1-VLOOKUP($A242,[1]Hugst!$R$5:$W$9,MATCH(ROUNDUP((P$1)/10,0)*10,[1]Hugst!$R$4:$W$4,0))))</f>
        <v>150.19206335366954</v>
      </c>
      <c r="Q242" s="168">
        <f ca="1">IF($C242-Q$1&lt;År1,0,P241*(1-VLOOKUP($A242,[1]Hugst!$R$5:$W$9,MATCH(ROUNDUP((Q$1)/10,0)*10,[1]Hugst!$R$4:$W$4,0))))</f>
        <v>150.26810877010149</v>
      </c>
      <c r="R242" s="168">
        <f ca="1">IF($C242-R$1&lt;År1,0,Q241*(1-VLOOKUP($A242,[1]Hugst!$R$5:$W$9,MATCH(ROUNDUP((R$1)/10,0)*10,[1]Hugst!$R$4:$W$4,0))))</f>
        <v>150.3443685564954</v>
      </c>
      <c r="S242" s="168">
        <f ca="1">IF($C242-S$1&lt;År1,0,R241*(1-VLOOKUP($A242,[1]Hugst!$R$5:$W$9,MATCH(ROUNDUP((S$1)/10,0)*10,[1]Hugst!$R$4:$W$4,0))))</f>
        <v>150.42084331717459</v>
      </c>
      <c r="T242" s="168">
        <f ca="1">IF($C242-T$1&lt;År1,0,S241*(1-VLOOKUP($A242,[1]Hugst!$R$5:$W$9,MATCH(ROUNDUP((T$1)/10,0)*10,[1]Hugst!$R$4:$W$4,0))))</f>
        <v>150.49753365812111</v>
      </c>
      <c r="U242" s="168">
        <f ca="1">IF($C242-U$1&lt;År1,0,T241*(1-VLOOKUP($A242,[1]Hugst!$R$5:$W$9,MATCH(ROUNDUP((U$1)/10,0)*10,[1]Hugst!$R$4:$W$4,0))))</f>
        <v>150.92178212903008</v>
      </c>
      <c r="V242" s="168">
        <f ca="1">IF($C242-V$1&lt;År1,0,U241*(1-VLOOKUP($A242,[1]Hugst!$R$5:$W$9,MATCH(ROUNDUP((V$1)/10,0)*10,[1]Hugst!$R$4:$W$4,0))))</f>
        <v>151.34722654488252</v>
      </c>
      <c r="W242" s="168">
        <f ca="1">IF($C242-W$1&lt;År1,0,V241*(1-VLOOKUP($A242,[1]Hugst!$R$5:$W$9,MATCH(ROUNDUP((W$1)/10,0)*10,[1]Hugst!$R$4:$W$4,0))))</f>
        <v>151.77387027703023</v>
      </c>
      <c r="X242" s="168">
        <f ca="1">IF($C242-X$1&lt;År1,0,W241*(1-VLOOKUP($A242,[1]Hugst!$R$5:$W$9,MATCH(ROUNDUP((X$1)/10,0)*10,[1]Hugst!$R$4:$W$4,0))))</f>
        <v>152.20171670628827</v>
      </c>
      <c r="Y242" s="168">
        <f ca="1">IF($C242-Y$1&lt;År1,0,X241*(1-VLOOKUP($A242,[1]Hugst!$R$5:$W$9,MATCH(ROUNDUP((Y$1)/10,0)*10,[1]Hugst!$R$4:$W$4,0))))</f>
        <v>152.63076922305081</v>
      </c>
      <c r="Z242" s="168">
        <f ca="1">IF($C242-Z$1&lt;År1,0,Y241*(1-VLOOKUP($A242,[1]Hugst!$R$5:$W$9,MATCH(ROUNDUP((Z$1)/10,0)*10,[1]Hugst!$R$4:$W$4,0))))</f>
        <v>153.21068757651094</v>
      </c>
      <c r="AA242" s="168">
        <f ca="1">IF($C242-AA$1&lt;År1,0,Z241*(1-VLOOKUP($A242,[1]Hugst!$R$5:$W$9,MATCH(ROUNDUP((AA$1)/10,0)*10,[1]Hugst!$R$4:$W$4,0))))</f>
        <v>153.79280932119812</v>
      </c>
      <c r="AB242" s="168">
        <f ca="1">IF($C242-AB$1&lt;År1,0,AA241*(1-VLOOKUP($A242,[1]Hugst!$R$5:$W$9,MATCH(ROUNDUP((AB$1)/10,0)*10,[1]Hugst!$R$4:$W$4,0))))</f>
        <v>154.3771428288527</v>
      </c>
      <c r="AC242" s="168">
        <f ca="1">IF($C242-AC$1&lt;År1,0,AB241*(1-VLOOKUP($A242,[1]Hugst!$R$5:$W$9,MATCH(ROUNDUP((AC$1)/10,0)*10,[1]Hugst!$R$4:$W$4,0))))</f>
        <v>154.96369650304018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177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141.13914431172088</v>
      </c>
      <c r="E243" s="168">
        <f t="shared" ca="1" si="5"/>
        <v>4.248202251809289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145.38734656353017</v>
      </c>
      <c r="G243" s="168">
        <f ca="1">IF($C243-G$1&lt;År1,0,F242*(1-VLOOKUP($A243,[1]Hugst!$R$5:$W$9,MATCH(ROUNDUP((G$1)/10,0)*10,[1]Hugst!$R$4:$W$4,0))))</f>
        <v>145.92418580178082</v>
      </c>
      <c r="H243" s="168">
        <f ca="1">IF($C243-H$1&lt;År1,0,G242*(1-VLOOKUP($A243,[1]Hugst!$R$5:$W$9,MATCH(ROUNDUP((H$1)/10,0)*10,[1]Hugst!$R$4:$W$4,0))))</f>
        <v>146.46424823121424</v>
      </c>
      <c r="I243" s="168">
        <f ca="1">IF($C243-I$1&lt;År1,0,H242*(1-VLOOKUP($A243,[1]Hugst!$R$5:$W$9,MATCH(ROUNDUP((I$1)/10,0)*10,[1]Hugst!$R$4:$W$4,0))))</f>
        <v>147.00755311664943</v>
      </c>
      <c r="J243" s="168">
        <f ca="1">IF($C243-J$1&lt;År1,0,I242*(1-VLOOKUP($A243,[1]Hugst!$R$5:$W$9,MATCH(ROUNDUP((J$1)/10,0)*10,[1]Hugst!$R$4:$W$4,0))))</f>
        <v>147.55411983042995</v>
      </c>
      <c r="K243" s="168">
        <f ca="1">IF($C243-K$1&lt;År1,0,J242*(1-VLOOKUP($A243,[1]Hugst!$R$5:$W$9,MATCH(ROUNDUP((K$1)/10,0)*10,[1]Hugst!$R$4:$W$4,0))))</f>
        <v>148.10396785302783</v>
      </c>
      <c r="L243" s="168">
        <f ca="1">IF($C243-L$1&lt;År1,0,K242*(1-VLOOKUP($A243,[1]Hugst!$R$5:$W$9,MATCH(ROUNDUP((L$1)/10,0)*10,[1]Hugst!$R$4:$W$4,0))))</f>
        <v>148.50390675980179</v>
      </c>
      <c r="M243" s="168">
        <f ca="1">IF($C243-M$1&lt;År1,0,L242*(1-VLOOKUP($A243,[1]Hugst!$R$5:$W$9,MATCH(ROUNDUP((M$1)/10,0)*10,[1]Hugst!$R$4:$W$4,0))))</f>
        <v>148.90509796194647</v>
      </c>
      <c r="N243" s="168">
        <f ca="1">IF($C243-N$1&lt;År1,0,M242*(1-VLOOKUP($A243,[1]Hugst!$R$5:$W$9,MATCH(ROUNDUP((N$1)/10,0)*10,[1]Hugst!$R$4:$W$4,0))))</f>
        <v>149.30754608606549</v>
      </c>
      <c r="O243" s="168">
        <f ca="1">IF($C243-O$1&lt;År1,0,N242*(1-VLOOKUP($A243,[1]Hugst!$R$5:$W$9,MATCH(ROUNDUP((O$1)/10,0)*10,[1]Hugst!$R$4:$W$4,0))))</f>
        <v>149.711255778338</v>
      </c>
      <c r="P243" s="168">
        <f ca="1">IF($C243-P$1&lt;År1,0,O242*(1-VLOOKUP($A243,[1]Hugst!$R$5:$W$9,MATCH(ROUNDUP((P$1)/10,0)*10,[1]Hugst!$R$4:$W$4,0))))</f>
        <v>149.78670826915592</v>
      </c>
      <c r="Q243" s="168">
        <f ca="1">IF($C243-Q$1&lt;År1,0,P242*(1-VLOOKUP($A243,[1]Hugst!$R$5:$W$9,MATCH(ROUNDUP((Q$1)/10,0)*10,[1]Hugst!$R$4:$W$4,0))))</f>
        <v>149.86237345850296</v>
      </c>
      <c r="R243" s="168">
        <f ca="1">IF($C243-R$1&lt;År1,0,Q242*(1-VLOOKUP($A243,[1]Hugst!$R$5:$W$9,MATCH(ROUNDUP((R$1)/10,0)*10,[1]Hugst!$R$4:$W$4,0))))</f>
        <v>149.93825194597201</v>
      </c>
      <c r="S243" s="168">
        <f ca="1">IF($C243-S$1&lt;År1,0,R242*(1-VLOOKUP($A243,[1]Hugst!$R$5:$W$9,MATCH(ROUNDUP((S$1)/10,0)*10,[1]Hugst!$R$4:$W$4,0))))</f>
        <v>150.01434433283481</v>
      </c>
      <c r="T243" s="168">
        <f ca="1">IF($C243-T$1&lt;År1,0,S242*(1-VLOOKUP($A243,[1]Hugst!$R$5:$W$9,MATCH(ROUNDUP((T$1)/10,0)*10,[1]Hugst!$R$4:$W$4,0))))</f>
        <v>150.0906512220881</v>
      </c>
      <c r="U243" s="168">
        <f ca="1">IF($C243-U$1&lt;År1,0,T242*(1-VLOOKUP($A243,[1]Hugst!$R$5:$W$9,MATCH(ROUNDUP((U$1)/10,0)*10,[1]Hugst!$R$4:$W$4,0))))</f>
        <v>150.16717321838377</v>
      </c>
      <c r="V243" s="168">
        <f ca="1">IF($C243-V$1&lt;År1,0,U242*(1-VLOOKUP($A243,[1]Hugst!$R$5:$W$9,MATCH(ROUNDUP((V$1)/10,0)*10,[1]Hugst!$R$4:$W$4,0))))</f>
        <v>150.59049041216147</v>
      </c>
      <c r="W243" s="168">
        <f ca="1">IF($C243-W$1&lt;År1,0,V242*(1-VLOOKUP($A243,[1]Hugst!$R$5:$W$9,MATCH(ROUNDUP((W$1)/10,0)*10,[1]Hugst!$R$4:$W$4,0))))</f>
        <v>151.01500092563765</v>
      </c>
      <c r="X243" s="168">
        <f ca="1">IF($C243-X$1&lt;År1,0,W242*(1-VLOOKUP($A243,[1]Hugst!$R$5:$W$9,MATCH(ROUNDUP((X$1)/10,0)*10,[1]Hugst!$R$4:$W$4,0))))</f>
        <v>151.44070812276357</v>
      </c>
      <c r="Y243" s="168">
        <f ca="1">IF($C243-Y$1&lt;År1,0,X242*(1-VLOOKUP($A243,[1]Hugst!$R$5:$W$9,MATCH(ROUNDUP((Y$1)/10,0)*10,[1]Hugst!$R$4:$W$4,0))))</f>
        <v>151.867615376933</v>
      </c>
      <c r="Z243" s="168">
        <f ca="1">IF($C243-Z$1&lt;År1,0,Y242*(1-VLOOKUP($A243,[1]Hugst!$R$5:$W$9,MATCH(ROUNDUP((Z$1)/10,0)*10,[1]Hugst!$R$4:$W$4,0))))</f>
        <v>152.44463413863244</v>
      </c>
      <c r="AA243" s="168">
        <f ca="1">IF($C243-AA$1&lt;År1,0,Z242*(1-VLOOKUP($A243,[1]Hugst!$R$5:$W$9,MATCH(ROUNDUP((AA$1)/10,0)*10,[1]Hugst!$R$4:$W$4,0))))</f>
        <v>153.02384527458835</v>
      </c>
      <c r="AB243" s="168">
        <f ca="1">IF($C243-AB$1&lt;År1,0,AA242*(1-VLOOKUP($A243,[1]Hugst!$R$5:$W$9,MATCH(ROUNDUP((AB$1)/10,0)*10,[1]Hugst!$R$4:$W$4,0))))</f>
        <v>153.60525711470885</v>
      </c>
      <c r="AC243" s="168">
        <f ca="1">IF($C243-AC$1&lt;År1,0,AB242*(1-VLOOKUP($A243,[1]Hugst!$R$5:$W$9,MATCH(ROUNDUP((AC$1)/10,0)*10,[1]Hugst!$R$4:$W$4,0))))</f>
        <v>154.18887802052484</v>
      </c>
      <c r="AD243" s="168">
        <f ca="1">IF($C243-AD$1&lt;År1,0,AC242*(1-VLOOKUP($A243,[1]Hugst!$R$5:$W$9,MATCH(ROUNDUP((AD$1)/10,0)*10,[1]Hugst!$R$4:$W$4,0))))</f>
        <v>154.77471638535354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177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140.43344859016361</v>
      </c>
      <c r="E244" s="168">
        <f t="shared" ca="1" si="5"/>
        <v>4.4202627684703657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144.85371135863397</v>
      </c>
      <c r="G244" s="168">
        <f ca="1">IF($C244-G$1&lt;År1,0,F243*(1-VLOOKUP($A244,[1]Hugst!$R$5:$W$9,MATCH(ROUNDUP((G$1)/10,0)*10,[1]Hugst!$R$4:$W$4,0))))</f>
        <v>145.38734656353017</v>
      </c>
      <c r="H244" s="168">
        <f ca="1">IF($C244-H$1&lt;År1,0,G243*(1-VLOOKUP($A244,[1]Hugst!$R$5:$W$9,MATCH(ROUNDUP((H$1)/10,0)*10,[1]Hugst!$R$4:$W$4,0))))</f>
        <v>145.92418580178082</v>
      </c>
      <c r="I244" s="168">
        <f ca="1">IF($C244-I$1&lt;År1,0,H243*(1-VLOOKUP($A244,[1]Hugst!$R$5:$W$9,MATCH(ROUNDUP((I$1)/10,0)*10,[1]Hugst!$R$4:$W$4,0))))</f>
        <v>146.46424823121424</v>
      </c>
      <c r="J244" s="168">
        <f ca="1">IF($C244-J$1&lt;År1,0,I243*(1-VLOOKUP($A244,[1]Hugst!$R$5:$W$9,MATCH(ROUNDUP((J$1)/10,0)*10,[1]Hugst!$R$4:$W$4,0))))</f>
        <v>147.00755311664943</v>
      </c>
      <c r="K244" s="168">
        <f ca="1">IF($C244-K$1&lt;År1,0,J243*(1-VLOOKUP($A244,[1]Hugst!$R$5:$W$9,MATCH(ROUNDUP((K$1)/10,0)*10,[1]Hugst!$R$4:$W$4,0))))</f>
        <v>147.55411983042995</v>
      </c>
      <c r="L244" s="168">
        <f ca="1">IF($C244-L$1&lt;År1,0,K243*(1-VLOOKUP($A244,[1]Hugst!$R$5:$W$9,MATCH(ROUNDUP((L$1)/10,0)*10,[1]Hugst!$R$4:$W$4,0))))</f>
        <v>148.10396785302783</v>
      </c>
      <c r="M244" s="168">
        <f ca="1">IF($C244-M$1&lt;År1,0,L243*(1-VLOOKUP($A244,[1]Hugst!$R$5:$W$9,MATCH(ROUNDUP((M$1)/10,0)*10,[1]Hugst!$R$4:$W$4,0))))</f>
        <v>148.50390675980179</v>
      </c>
      <c r="N244" s="168">
        <f ca="1">IF($C244-N$1&lt;År1,0,M243*(1-VLOOKUP($A244,[1]Hugst!$R$5:$W$9,MATCH(ROUNDUP((N$1)/10,0)*10,[1]Hugst!$R$4:$W$4,0))))</f>
        <v>148.90509796194647</v>
      </c>
      <c r="O244" s="168">
        <f ca="1">IF($C244-O$1&lt;År1,0,N243*(1-VLOOKUP($A244,[1]Hugst!$R$5:$W$9,MATCH(ROUNDUP((O$1)/10,0)*10,[1]Hugst!$R$4:$W$4,0))))</f>
        <v>149.30754608606549</v>
      </c>
      <c r="P244" s="168">
        <f ca="1">IF($C244-P$1&lt;År1,0,O243*(1-VLOOKUP($A244,[1]Hugst!$R$5:$W$9,MATCH(ROUNDUP((P$1)/10,0)*10,[1]Hugst!$R$4:$W$4,0))))</f>
        <v>149.38262131443432</v>
      </c>
      <c r="Q244" s="168">
        <f ca="1">IF($C244-Q$1&lt;År1,0,P243*(1-VLOOKUP($A244,[1]Hugst!$R$5:$W$9,MATCH(ROUNDUP((Q$1)/10,0)*10,[1]Hugst!$R$4:$W$4,0))))</f>
        <v>149.45790817783339</v>
      </c>
      <c r="R244" s="168">
        <f ca="1">IF($C244-R$1&lt;År1,0,Q243*(1-VLOOKUP($A244,[1]Hugst!$R$5:$W$9,MATCH(ROUNDUP((R$1)/10,0)*10,[1]Hugst!$R$4:$W$4,0))))</f>
        <v>149.53340727286235</v>
      </c>
      <c r="S244" s="168">
        <f ca="1">IF($C244-S$1&lt;År1,0,R243*(1-VLOOKUP($A244,[1]Hugst!$R$5:$W$9,MATCH(ROUNDUP((S$1)/10,0)*10,[1]Hugst!$R$4:$W$4,0))))</f>
        <v>149.60911919779792</v>
      </c>
      <c r="T244" s="168">
        <f ca="1">IF($C244-T$1&lt;År1,0,S243*(1-VLOOKUP($A244,[1]Hugst!$R$5:$W$9,MATCH(ROUNDUP((T$1)/10,0)*10,[1]Hugst!$R$4:$W$4,0))))</f>
        <v>149.68504455259199</v>
      </c>
      <c r="U244" s="168">
        <f ca="1">IF($C244-U$1&lt;År1,0,T243*(1-VLOOKUP($A244,[1]Hugst!$R$5:$W$9,MATCH(ROUNDUP((U$1)/10,0)*10,[1]Hugst!$R$4:$W$4,0))))</f>
        <v>149.76118393891767</v>
      </c>
      <c r="V244" s="168">
        <f ca="1">IF($C244-V$1&lt;År1,0,U243*(1-VLOOKUP($A244,[1]Hugst!$R$5:$W$9,MATCH(ROUNDUP((V$1)/10,0)*10,[1]Hugst!$R$4:$W$4,0))))</f>
        <v>149.8375379600995</v>
      </c>
      <c r="W244" s="168">
        <f ca="1">IF($C244-W$1&lt;År1,0,V243*(1-VLOOKUP($A244,[1]Hugst!$R$5:$W$9,MATCH(ROUNDUP((W$1)/10,0)*10,[1]Hugst!$R$4:$W$4,0))))</f>
        <v>150.25992592101284</v>
      </c>
      <c r="X244" s="168">
        <f ca="1">IF($C244-X$1&lt;År1,0,W243*(1-VLOOKUP($A244,[1]Hugst!$R$5:$W$9,MATCH(ROUNDUP((X$1)/10,0)*10,[1]Hugst!$R$4:$W$4,0))))</f>
        <v>150.68350458214235</v>
      </c>
      <c r="Y244" s="168">
        <f ca="1">IF($C244-Y$1&lt;År1,0,X243*(1-VLOOKUP($A244,[1]Hugst!$R$5:$W$9,MATCH(ROUNDUP((Y$1)/10,0)*10,[1]Hugst!$R$4:$W$4,0))))</f>
        <v>151.10827730005505</v>
      </c>
      <c r="Z244" s="168">
        <f ca="1">IF($C244-Z$1&lt;År1,0,Y243*(1-VLOOKUP($A244,[1]Hugst!$R$5:$W$9,MATCH(ROUNDUP((Z$1)/10,0)*10,[1]Hugst!$R$4:$W$4,0))))</f>
        <v>151.68241096793673</v>
      </c>
      <c r="AA244" s="168">
        <f ca="1">IF($C244-AA$1&lt;År1,0,Z243*(1-VLOOKUP($A244,[1]Hugst!$R$5:$W$9,MATCH(ROUNDUP((AA$1)/10,0)*10,[1]Hugst!$R$4:$W$4,0))))</f>
        <v>152.25872604821947</v>
      </c>
      <c r="AB244" s="168">
        <f ca="1">IF($C244-AB$1&lt;År1,0,AA243*(1-VLOOKUP($A244,[1]Hugst!$R$5:$W$9,MATCH(ROUNDUP((AB$1)/10,0)*10,[1]Hugst!$R$4:$W$4,0))))</f>
        <v>152.83723082913153</v>
      </c>
      <c r="AC244" s="168">
        <f ca="1">IF($C244-AC$1&lt;År1,0,AB243*(1-VLOOKUP($A244,[1]Hugst!$R$5:$W$9,MATCH(ROUNDUP((AC$1)/10,0)*10,[1]Hugst!$R$4:$W$4,0))))</f>
        <v>153.41793363042262</v>
      </c>
      <c r="AD244" s="168">
        <f ca="1">IF($C244-AD$1&lt;År1,0,AC243*(1-VLOOKUP($A244,[1]Hugst!$R$5:$W$9,MATCH(ROUNDUP((AD$1)/10,0)*10,[1]Hugst!$R$4:$W$4,0))))</f>
        <v>154.00084280342665</v>
      </c>
      <c r="AE244" s="168">
        <f ca="1">IF($C244-AE$1&lt;År1,0,AD243*(1-VLOOKUP($A244,[1]Hugst!$R$5:$W$9,MATCH(ROUNDUP((AE$1)/10,0)*10,[1]Hugst!$R$4:$W$4,0))))</f>
        <v>154.58596673122506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177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139.73128134721628</v>
      </c>
      <c r="E245" s="168">
        <f t="shared" ca="1" si="5"/>
        <v>4.5919797884362197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144.3232611356525</v>
      </c>
      <c r="G245" s="168">
        <f ca="1">IF($C245-G$1&lt;År1,0,F244*(1-VLOOKUP($A245,[1]Hugst!$R$5:$W$9,MATCH(ROUNDUP((G$1)/10,0)*10,[1]Hugst!$R$4:$W$4,0))))</f>
        <v>144.85371135863397</v>
      </c>
      <c r="H245" s="168">
        <f ca="1">IF($C245-H$1&lt;År1,0,G244*(1-VLOOKUP($A245,[1]Hugst!$R$5:$W$9,MATCH(ROUNDUP((H$1)/10,0)*10,[1]Hugst!$R$4:$W$4,0))))</f>
        <v>145.38734656353017</v>
      </c>
      <c r="I245" s="168">
        <f ca="1">IF($C245-I$1&lt;År1,0,H244*(1-VLOOKUP($A245,[1]Hugst!$R$5:$W$9,MATCH(ROUNDUP((I$1)/10,0)*10,[1]Hugst!$R$4:$W$4,0))))</f>
        <v>145.92418580178082</v>
      </c>
      <c r="J245" s="168">
        <f ca="1">IF($C245-J$1&lt;År1,0,I244*(1-VLOOKUP($A245,[1]Hugst!$R$5:$W$9,MATCH(ROUNDUP((J$1)/10,0)*10,[1]Hugst!$R$4:$W$4,0))))</f>
        <v>146.46424823121424</v>
      </c>
      <c r="K245" s="168">
        <f ca="1">IF($C245-K$1&lt;År1,0,J244*(1-VLOOKUP($A245,[1]Hugst!$R$5:$W$9,MATCH(ROUNDUP((K$1)/10,0)*10,[1]Hugst!$R$4:$W$4,0))))</f>
        <v>147.00755311664943</v>
      </c>
      <c r="L245" s="168">
        <f ca="1">IF($C245-L$1&lt;År1,0,K244*(1-VLOOKUP($A245,[1]Hugst!$R$5:$W$9,MATCH(ROUNDUP((L$1)/10,0)*10,[1]Hugst!$R$4:$W$4,0))))</f>
        <v>147.55411983042995</v>
      </c>
      <c r="M245" s="168">
        <f ca="1">IF($C245-M$1&lt;År1,0,L244*(1-VLOOKUP($A245,[1]Hugst!$R$5:$W$9,MATCH(ROUNDUP((M$1)/10,0)*10,[1]Hugst!$R$4:$W$4,0))))</f>
        <v>148.10396785302783</v>
      </c>
      <c r="N245" s="168">
        <f ca="1">IF($C245-N$1&lt;År1,0,M244*(1-VLOOKUP($A245,[1]Hugst!$R$5:$W$9,MATCH(ROUNDUP((N$1)/10,0)*10,[1]Hugst!$R$4:$W$4,0))))</f>
        <v>148.50390675980179</v>
      </c>
      <c r="O245" s="168">
        <f ca="1">IF($C245-O$1&lt;År1,0,N244*(1-VLOOKUP($A245,[1]Hugst!$R$5:$W$9,MATCH(ROUNDUP((O$1)/10,0)*10,[1]Hugst!$R$4:$W$4,0))))</f>
        <v>148.90509796194647</v>
      </c>
      <c r="P245" s="168">
        <f ca="1">IF($C245-P$1&lt;År1,0,O244*(1-VLOOKUP($A245,[1]Hugst!$R$5:$W$9,MATCH(ROUNDUP((P$1)/10,0)*10,[1]Hugst!$R$4:$W$4,0))))</f>
        <v>148.97979781416925</v>
      </c>
      <c r="Q245" s="168">
        <f ca="1">IF($C245-Q$1&lt;År1,0,P244*(1-VLOOKUP($A245,[1]Hugst!$R$5:$W$9,MATCH(ROUNDUP((Q$1)/10,0)*10,[1]Hugst!$R$4:$W$4,0))))</f>
        <v>149.0547082432563</v>
      </c>
      <c r="R245" s="168">
        <f ca="1">IF($C245-R$1&lt;År1,0,Q244*(1-VLOOKUP($A245,[1]Hugst!$R$5:$W$9,MATCH(ROUNDUP((R$1)/10,0)*10,[1]Hugst!$R$4:$W$4,0))))</f>
        <v>149.12982984280887</v>
      </c>
      <c r="S245" s="168">
        <f ca="1">IF($C245-S$1&lt;År1,0,R244*(1-VLOOKUP($A245,[1]Hugst!$R$5:$W$9,MATCH(ROUNDUP((S$1)/10,0)*10,[1]Hugst!$R$4:$W$4,0))))</f>
        <v>149.20516320811703</v>
      </c>
      <c r="T245" s="168">
        <f ca="1">IF($C245-T$1&lt;År1,0,S244*(1-VLOOKUP($A245,[1]Hugst!$R$5:$W$9,MATCH(ROUNDUP((T$1)/10,0)*10,[1]Hugst!$R$4:$W$4,0))))</f>
        <v>149.28070893614421</v>
      </c>
      <c r="U245" s="168">
        <f ca="1">IF($C245-U$1&lt;År1,0,T244*(1-VLOOKUP($A245,[1]Hugst!$R$5:$W$9,MATCH(ROUNDUP((U$1)/10,0)*10,[1]Hugst!$R$4:$W$4,0))))</f>
        <v>149.35646762552531</v>
      </c>
      <c r="V245" s="168">
        <f ca="1">IF($C245-V$1&lt;År1,0,U244*(1-VLOOKUP($A245,[1]Hugst!$R$5:$W$9,MATCH(ROUNDUP((V$1)/10,0)*10,[1]Hugst!$R$4:$W$4,0))))</f>
        <v>149.43243987661273</v>
      </c>
      <c r="W245" s="168">
        <f ca="1">IF($C245-W$1&lt;År1,0,V244*(1-VLOOKUP($A245,[1]Hugst!$R$5:$W$9,MATCH(ROUNDUP((W$1)/10,0)*10,[1]Hugst!$R$4:$W$4,0))))</f>
        <v>149.50862629140659</v>
      </c>
      <c r="X245" s="168">
        <f ca="1">IF($C245-X$1&lt;År1,0,W244*(1-VLOOKUP($A245,[1]Hugst!$R$5:$W$9,MATCH(ROUNDUP((X$1)/10,0)*10,[1]Hugst!$R$4:$W$4,0))))</f>
        <v>149.93008705923501</v>
      </c>
      <c r="Y245" s="168">
        <f ca="1">IF($C245-Y$1&lt;År1,0,X244*(1-VLOOKUP($A245,[1]Hugst!$R$5:$W$9,MATCH(ROUNDUP((Y$1)/10,0)*10,[1]Hugst!$R$4:$W$4,0))))</f>
        <v>150.35273591354741</v>
      </c>
      <c r="Z245" s="168">
        <f ca="1">IF($C245-Z$1&lt;År1,0,Y244*(1-VLOOKUP($A245,[1]Hugst!$R$5:$W$9,MATCH(ROUNDUP((Z$1)/10,0)*10,[1]Hugst!$R$4:$W$4,0))))</f>
        <v>150.92399891310376</v>
      </c>
      <c r="AA245" s="168">
        <f ca="1">IF($C245-AA$1&lt;År1,0,Z244*(1-VLOOKUP($A245,[1]Hugst!$R$5:$W$9,MATCH(ROUNDUP((AA$1)/10,0)*10,[1]Hugst!$R$4:$W$4,0))))</f>
        <v>151.49743241797583</v>
      </c>
      <c r="AB245" s="168">
        <f ca="1">IF($C245-AB$1&lt;År1,0,AA244*(1-VLOOKUP($A245,[1]Hugst!$R$5:$W$9,MATCH(ROUNDUP((AB$1)/10,0)*10,[1]Hugst!$R$4:$W$4,0))))</f>
        <v>152.07304467498994</v>
      </c>
      <c r="AC245" s="168">
        <f ca="1">IF($C245-AC$1&lt;År1,0,AB244*(1-VLOOKUP($A245,[1]Hugst!$R$5:$W$9,MATCH(ROUNDUP((AC$1)/10,0)*10,[1]Hugst!$R$4:$W$4,0))))</f>
        <v>152.65084396226672</v>
      </c>
      <c r="AD245" s="168">
        <f ca="1">IF($C245-AD$1&lt;År1,0,AC244*(1-VLOOKUP($A245,[1]Hugst!$R$5:$W$9,MATCH(ROUNDUP((AD$1)/10,0)*10,[1]Hugst!$R$4:$W$4,0))))</f>
        <v>153.23083858940993</v>
      </c>
      <c r="AE245" s="168">
        <f ca="1">IF($C245-AE$1&lt;År1,0,AD244*(1-VLOOKUP($A245,[1]Hugst!$R$5:$W$9,MATCH(ROUNDUP((AE$1)/10,0)*10,[1]Hugst!$R$4:$W$4,0))))</f>
        <v>153.81303689756882</v>
      </c>
      <c r="AF245" s="168">
        <f ca="1">IF($C245-AF$1&lt;År1,0,AE244*(1-VLOOKUP($A245,[1]Hugst!$R$5:$W$9,MATCH(ROUNDUP((AF$1)/10,0)*10,[1]Hugst!$R$4:$W$4,0))))</f>
        <v>154.39744725960162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177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139.03262494047158</v>
      </c>
      <c r="E246" s="168">
        <f t="shared" ca="1" si="5"/>
        <v>4.7633520085059899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143.79597694897757</v>
      </c>
      <c r="G246" s="168">
        <f ca="1">IF($C246-G$1&lt;År1,0,F245*(1-VLOOKUP($A246,[1]Hugst!$R$5:$W$9,MATCH(ROUNDUP((G$1)/10,0)*10,[1]Hugst!$R$4:$W$4,0))))</f>
        <v>144.3232611356525</v>
      </c>
      <c r="H246" s="168">
        <f ca="1">IF($C246-H$1&lt;År1,0,G245*(1-VLOOKUP($A246,[1]Hugst!$R$5:$W$9,MATCH(ROUNDUP((H$1)/10,0)*10,[1]Hugst!$R$4:$W$4,0))))</f>
        <v>144.85371135863397</v>
      </c>
      <c r="I246" s="168">
        <f ca="1">IF($C246-I$1&lt;År1,0,H245*(1-VLOOKUP($A246,[1]Hugst!$R$5:$W$9,MATCH(ROUNDUP((I$1)/10,0)*10,[1]Hugst!$R$4:$W$4,0))))</f>
        <v>145.38734656353017</v>
      </c>
      <c r="J246" s="168">
        <f ca="1">IF($C246-J$1&lt;År1,0,I245*(1-VLOOKUP($A246,[1]Hugst!$R$5:$W$9,MATCH(ROUNDUP((J$1)/10,0)*10,[1]Hugst!$R$4:$W$4,0))))</f>
        <v>145.92418580178082</v>
      </c>
      <c r="K246" s="168">
        <f ca="1">IF($C246-K$1&lt;År1,0,J245*(1-VLOOKUP($A246,[1]Hugst!$R$5:$W$9,MATCH(ROUNDUP((K$1)/10,0)*10,[1]Hugst!$R$4:$W$4,0))))</f>
        <v>146.46424823121424</v>
      </c>
      <c r="L246" s="168">
        <f ca="1">IF($C246-L$1&lt;År1,0,K245*(1-VLOOKUP($A246,[1]Hugst!$R$5:$W$9,MATCH(ROUNDUP((L$1)/10,0)*10,[1]Hugst!$R$4:$W$4,0))))</f>
        <v>147.00755311664943</v>
      </c>
      <c r="M246" s="168">
        <f ca="1">IF($C246-M$1&lt;År1,0,L245*(1-VLOOKUP($A246,[1]Hugst!$R$5:$W$9,MATCH(ROUNDUP((M$1)/10,0)*10,[1]Hugst!$R$4:$W$4,0))))</f>
        <v>147.55411983042995</v>
      </c>
      <c r="N246" s="168">
        <f ca="1">IF($C246-N$1&lt;År1,0,M245*(1-VLOOKUP($A246,[1]Hugst!$R$5:$W$9,MATCH(ROUNDUP((N$1)/10,0)*10,[1]Hugst!$R$4:$W$4,0))))</f>
        <v>148.10396785302783</v>
      </c>
      <c r="O246" s="168">
        <f ca="1">IF($C246-O$1&lt;År1,0,N245*(1-VLOOKUP($A246,[1]Hugst!$R$5:$W$9,MATCH(ROUNDUP((O$1)/10,0)*10,[1]Hugst!$R$4:$W$4,0))))</f>
        <v>148.50390675980179</v>
      </c>
      <c r="P246" s="168">
        <f ca="1">IF($C246-P$1&lt;År1,0,O245*(1-VLOOKUP($A246,[1]Hugst!$R$5:$W$9,MATCH(ROUNDUP((P$1)/10,0)*10,[1]Hugst!$R$4:$W$4,0))))</f>
        <v>148.57823311276169</v>
      </c>
      <c r="Q246" s="168">
        <f ca="1">IF($C246-Q$1&lt;År1,0,P245*(1-VLOOKUP($A246,[1]Hugst!$R$5:$W$9,MATCH(ROUNDUP((Q$1)/10,0)*10,[1]Hugst!$R$4:$W$4,0))))</f>
        <v>148.65276898969913</v>
      </c>
      <c r="R246" s="168">
        <f ca="1">IF($C246-R$1&lt;År1,0,Q245*(1-VLOOKUP($A246,[1]Hugst!$R$5:$W$9,MATCH(ROUNDUP((R$1)/10,0)*10,[1]Hugst!$R$4:$W$4,0))))</f>
        <v>148.72751498125891</v>
      </c>
      <c r="S246" s="168">
        <f ca="1">IF($C246-S$1&lt;År1,0,R245*(1-VLOOKUP($A246,[1]Hugst!$R$5:$W$9,MATCH(ROUNDUP((S$1)/10,0)*10,[1]Hugst!$R$4:$W$4,0))))</f>
        <v>148.80247167973928</v>
      </c>
      <c r="T246" s="168">
        <f ca="1">IF($C246-T$1&lt;År1,0,S245*(1-VLOOKUP($A246,[1]Hugst!$R$5:$W$9,MATCH(ROUNDUP((T$1)/10,0)*10,[1]Hugst!$R$4:$W$4,0))))</f>
        <v>148.8776396791236</v>
      </c>
      <c r="U246" s="168">
        <f ca="1">IF($C246-U$1&lt;År1,0,T245*(1-VLOOKUP($A246,[1]Hugst!$R$5:$W$9,MATCH(ROUNDUP((U$1)/10,0)*10,[1]Hugst!$R$4:$W$4,0))))</f>
        <v>148.95301957506487</v>
      </c>
      <c r="V246" s="168">
        <f ca="1">IF($C246-V$1&lt;År1,0,U245*(1-VLOOKUP($A246,[1]Hugst!$R$5:$W$9,MATCH(ROUNDUP((V$1)/10,0)*10,[1]Hugst!$R$4:$W$4,0))))</f>
        <v>149.02861196488391</v>
      </c>
      <c r="W246" s="168">
        <f ca="1">IF($C246-W$1&lt;År1,0,V245*(1-VLOOKUP($A246,[1]Hugst!$R$5:$W$9,MATCH(ROUNDUP((W$1)/10,0)*10,[1]Hugst!$R$4:$W$4,0))))</f>
        <v>149.10441744761528</v>
      </c>
      <c r="X246" s="168">
        <f ca="1">IF($C246-X$1&lt;År1,0,W245*(1-VLOOKUP($A246,[1]Hugst!$R$5:$W$9,MATCH(ROUNDUP((X$1)/10,0)*10,[1]Hugst!$R$4:$W$4,0))))</f>
        <v>149.18043662393765</v>
      </c>
      <c r="Y246" s="168">
        <f ca="1">IF($C246-Y$1&lt;År1,0,X245*(1-VLOOKUP($A246,[1]Hugst!$R$5:$W$9,MATCH(ROUNDUP((Y$1)/10,0)*10,[1]Hugst!$R$4:$W$4,0))))</f>
        <v>149.60097223398301</v>
      </c>
      <c r="Z246" s="168">
        <f ca="1">IF($C246-Z$1&lt;År1,0,Y245*(1-VLOOKUP($A246,[1]Hugst!$R$5:$W$9,MATCH(ROUNDUP((Z$1)/10,0)*10,[1]Hugst!$R$4:$W$4,0))))</f>
        <v>150.1693789185309</v>
      </c>
      <c r="AA246" s="168">
        <f ca="1">IF($C246-AA$1&lt;År1,0,Z245*(1-VLOOKUP($A246,[1]Hugst!$R$5:$W$9,MATCH(ROUNDUP((AA$1)/10,0)*10,[1]Hugst!$R$4:$W$4,0))))</f>
        <v>150.73994525589265</v>
      </c>
      <c r="AB246" s="168">
        <f ca="1">IF($C246-AB$1&lt;År1,0,AA245*(1-VLOOKUP($A246,[1]Hugst!$R$5:$W$9,MATCH(ROUNDUP((AB$1)/10,0)*10,[1]Hugst!$R$4:$W$4,0))))</f>
        <v>151.31267945161244</v>
      </c>
      <c r="AC246" s="168">
        <f ca="1">IF($C246-AC$1&lt;År1,0,AB245*(1-VLOOKUP($A246,[1]Hugst!$R$5:$W$9,MATCH(ROUNDUP((AC$1)/10,0)*10,[1]Hugst!$R$4:$W$4,0))))</f>
        <v>151.88758974245948</v>
      </c>
      <c r="AD246" s="168">
        <f ca="1">IF($C246-AD$1&lt;År1,0,AC245*(1-VLOOKUP($A246,[1]Hugst!$R$5:$W$9,MATCH(ROUNDUP((AD$1)/10,0)*10,[1]Hugst!$R$4:$W$4,0))))</f>
        <v>152.46468439645906</v>
      </c>
      <c r="AE246" s="168">
        <f ca="1">IF($C246-AE$1&lt;År1,0,AD245*(1-VLOOKUP($A246,[1]Hugst!$R$5:$W$9,MATCH(ROUNDUP((AE$1)/10,0)*10,[1]Hugst!$R$4:$W$4,0))))</f>
        <v>153.04397171308139</v>
      </c>
      <c r="AF246" s="168">
        <f ca="1">IF($C246-AF$1&lt;År1,0,AE245*(1-VLOOKUP($A246,[1]Hugst!$R$5:$W$9,MATCH(ROUNDUP((AF$1)/10,0)*10,[1]Hugst!$R$4:$W$4,0))))</f>
        <v>153.6254600233035</v>
      </c>
      <c r="AG246" s="168">
        <f ca="1">IF($C246-AG$1&lt;År1,0,AF245*(1-VLOOKUP($A246,[1]Hugst!$R$5:$W$9,MATCH(ROUNDUP((AG$1)/10,0)*10,[1]Hugst!$R$4:$W$4,0))))</f>
        <v>154.20915768977284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177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138.33746181577226</v>
      </c>
      <c r="E247" s="168">
        <f t="shared" ca="1" si="5"/>
        <v>4.9343781425477573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143.27183995832002</v>
      </c>
      <c r="G247" s="168">
        <f ca="1">IF($C247-G$1&lt;År1,0,F246*(1-VLOOKUP($A247,[1]Hugst!$R$5:$W$9,MATCH(ROUNDUP((G$1)/10,0)*10,[1]Hugst!$R$4:$W$4,0))))</f>
        <v>143.79597694897757</v>
      </c>
      <c r="H247" s="168">
        <f ca="1">IF($C247-H$1&lt;År1,0,G246*(1-VLOOKUP($A247,[1]Hugst!$R$5:$W$9,MATCH(ROUNDUP((H$1)/10,0)*10,[1]Hugst!$R$4:$W$4,0))))</f>
        <v>144.3232611356525</v>
      </c>
      <c r="I247" s="168">
        <f ca="1">IF($C247-I$1&lt;År1,0,H246*(1-VLOOKUP($A247,[1]Hugst!$R$5:$W$9,MATCH(ROUNDUP((I$1)/10,0)*10,[1]Hugst!$R$4:$W$4,0))))</f>
        <v>144.85371135863397</v>
      </c>
      <c r="J247" s="168">
        <f ca="1">IF($C247-J$1&lt;År1,0,I246*(1-VLOOKUP($A247,[1]Hugst!$R$5:$W$9,MATCH(ROUNDUP((J$1)/10,0)*10,[1]Hugst!$R$4:$W$4,0))))</f>
        <v>145.38734656353017</v>
      </c>
      <c r="K247" s="168">
        <f ca="1">IF($C247-K$1&lt;År1,0,J246*(1-VLOOKUP($A247,[1]Hugst!$R$5:$W$9,MATCH(ROUNDUP((K$1)/10,0)*10,[1]Hugst!$R$4:$W$4,0))))</f>
        <v>145.92418580178082</v>
      </c>
      <c r="L247" s="168">
        <f ca="1">IF($C247-L$1&lt;År1,0,K246*(1-VLOOKUP($A247,[1]Hugst!$R$5:$W$9,MATCH(ROUNDUP((L$1)/10,0)*10,[1]Hugst!$R$4:$W$4,0))))</f>
        <v>146.46424823121424</v>
      </c>
      <c r="M247" s="168">
        <f ca="1">IF($C247-M$1&lt;År1,0,L246*(1-VLOOKUP($A247,[1]Hugst!$R$5:$W$9,MATCH(ROUNDUP((M$1)/10,0)*10,[1]Hugst!$R$4:$W$4,0))))</f>
        <v>147.00755311664943</v>
      </c>
      <c r="N247" s="168">
        <f ca="1">IF($C247-N$1&lt;År1,0,M246*(1-VLOOKUP($A247,[1]Hugst!$R$5:$W$9,MATCH(ROUNDUP((N$1)/10,0)*10,[1]Hugst!$R$4:$W$4,0))))</f>
        <v>147.55411983042995</v>
      </c>
      <c r="O247" s="168">
        <f ca="1">IF($C247-O$1&lt;År1,0,N246*(1-VLOOKUP($A247,[1]Hugst!$R$5:$W$9,MATCH(ROUNDUP((O$1)/10,0)*10,[1]Hugst!$R$4:$W$4,0))))</f>
        <v>148.10396785302783</v>
      </c>
      <c r="P247" s="168">
        <f ca="1">IF($C247-P$1&lt;År1,0,O246*(1-VLOOKUP($A247,[1]Hugst!$R$5:$W$9,MATCH(ROUNDUP((P$1)/10,0)*10,[1]Hugst!$R$4:$W$4,0))))</f>
        <v>148.1779225742315</v>
      </c>
      <c r="Q247" s="168">
        <f ca="1">IF($C247-Q$1&lt;År1,0,P246*(1-VLOOKUP($A247,[1]Hugst!$R$5:$W$9,MATCH(ROUNDUP((Q$1)/10,0)*10,[1]Hugst!$R$4:$W$4,0))))</f>
        <v>148.25208577178245</v>
      </c>
      <c r="R247" s="168">
        <f ca="1">IF($C247-R$1&lt;År1,0,Q246*(1-VLOOKUP($A247,[1]Hugst!$R$5:$W$9,MATCH(ROUNDUP((R$1)/10,0)*10,[1]Hugst!$R$4:$W$4,0))))</f>
        <v>148.32645803338028</v>
      </c>
      <c r="S247" s="168">
        <f ca="1">IF($C247-S$1&lt;År1,0,R246*(1-VLOOKUP($A247,[1]Hugst!$R$5:$W$9,MATCH(ROUNDUP((S$1)/10,0)*10,[1]Hugst!$R$4:$W$4,0))))</f>
        <v>148.40103994837321</v>
      </c>
      <c r="T247" s="168">
        <f ca="1">IF($C247-T$1&lt;År1,0,S246*(1-VLOOKUP($A247,[1]Hugst!$R$5:$W$9,MATCH(ROUNDUP((T$1)/10,0)*10,[1]Hugst!$R$4:$W$4,0))))</f>
        <v>148.47583210775937</v>
      </c>
      <c r="U247" s="168">
        <f ca="1">IF($C247-U$1&lt;År1,0,T246*(1-VLOOKUP($A247,[1]Hugst!$R$5:$W$9,MATCH(ROUNDUP((U$1)/10,0)*10,[1]Hugst!$R$4:$W$4,0))))</f>
        <v>148.55083510421821</v>
      </c>
      <c r="V247" s="168">
        <f ca="1">IF($C247-V$1&lt;År1,0,U246*(1-VLOOKUP($A247,[1]Hugst!$R$5:$W$9,MATCH(ROUNDUP((V$1)/10,0)*10,[1]Hugst!$R$4:$W$4,0))))</f>
        <v>148.62604953209521</v>
      </c>
      <c r="W247" s="168">
        <f ca="1">IF($C247-W$1&lt;År1,0,V246*(1-VLOOKUP($A247,[1]Hugst!$R$5:$W$9,MATCH(ROUNDUP((W$1)/10,0)*10,[1]Hugst!$R$4:$W$4,0))))</f>
        <v>148.70147598740002</v>
      </c>
      <c r="X247" s="168">
        <f ca="1">IF($C247-X$1&lt;År1,0,W246*(1-VLOOKUP($A247,[1]Hugst!$R$5:$W$9,MATCH(ROUNDUP((X$1)/10,0)*10,[1]Hugst!$R$4:$W$4,0))))</f>
        <v>148.77711506785221</v>
      </c>
      <c r="Y247" s="168">
        <f ca="1">IF($C247-Y$1&lt;År1,0,X246*(1-VLOOKUP($A247,[1]Hugst!$R$5:$W$9,MATCH(ROUNDUP((Y$1)/10,0)*10,[1]Hugst!$R$4:$W$4,0))))</f>
        <v>148.85296737281195</v>
      </c>
      <c r="Z247" s="168">
        <f ca="1">IF($C247-Z$1&lt;År1,0,Y246*(1-VLOOKUP($A247,[1]Hugst!$R$5:$W$9,MATCH(ROUNDUP((Z$1)/10,0)*10,[1]Hugst!$R$4:$W$4,0))))</f>
        <v>149.41853202394157</v>
      </c>
      <c r="AA247" s="168">
        <f ca="1">IF($C247-AA$1&lt;År1,0,Z246*(1-VLOOKUP($A247,[1]Hugst!$R$5:$W$9,MATCH(ROUNDUP((AA$1)/10,0)*10,[1]Hugst!$R$4:$W$4,0))))</f>
        <v>149.98624552960587</v>
      </c>
      <c r="AB247" s="168">
        <f ca="1">IF($C247-AB$1&lt;År1,0,AA246*(1-VLOOKUP($A247,[1]Hugst!$R$5:$W$9,MATCH(ROUNDUP((AB$1)/10,0)*10,[1]Hugst!$R$4:$W$4,0))))</f>
        <v>150.55611605436107</v>
      </c>
      <c r="AC247" s="168">
        <f ca="1">IF($C247-AC$1&lt;År1,0,AB246*(1-VLOOKUP($A247,[1]Hugst!$R$5:$W$9,MATCH(ROUNDUP((AC$1)/10,0)*10,[1]Hugst!$R$4:$W$4,0))))</f>
        <v>151.12815179374462</v>
      </c>
      <c r="AD247" s="168">
        <f ca="1">IF($C247-AD$1&lt;År1,0,AC246*(1-VLOOKUP($A247,[1]Hugst!$R$5:$W$9,MATCH(ROUNDUP((AD$1)/10,0)*10,[1]Hugst!$R$4:$W$4,0))))</f>
        <v>151.70236097448088</v>
      </c>
      <c r="AE247" s="168">
        <f ca="1">IF($C247-AE$1&lt;År1,0,AD246*(1-VLOOKUP($A247,[1]Hugst!$R$5:$W$9,MATCH(ROUNDUP((AE$1)/10,0)*10,[1]Hugst!$R$4:$W$4,0))))</f>
        <v>152.27875185451217</v>
      </c>
      <c r="AF247" s="168">
        <f ca="1">IF($C247-AF$1&lt;År1,0,AE246*(1-VLOOKUP($A247,[1]Hugst!$R$5:$W$9,MATCH(ROUNDUP((AF$1)/10,0)*10,[1]Hugst!$R$4:$W$4,0))))</f>
        <v>152.8573327231874</v>
      </c>
      <c r="AG247" s="168">
        <f ca="1">IF($C247-AG$1&lt;År1,0,AF246*(1-VLOOKUP($A247,[1]Hugst!$R$5:$W$9,MATCH(ROUNDUP((AG$1)/10,0)*10,[1]Hugst!$R$4:$W$4,0))))</f>
        <v>153.43811190132388</v>
      </c>
      <c r="AH247" s="168">
        <f ca="1">IF($C247-AH$1&lt;År1,0,AG246*(1-VLOOKUP($A247,[1]Hugst!$R$5:$W$9,MATCH(ROUNDUP((AH$1)/10,0)*10,[1]Hugst!$R$4:$W$4,0))))</f>
        <v>154.02109774137068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177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137.64577450669822</v>
      </c>
      <c r="E248" s="168">
        <f t="shared" ca="1" si="5"/>
        <v>5.1050569213839481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142.75083142808217</v>
      </c>
      <c r="G248" s="168">
        <f ca="1">IF($C248-G$1&lt;År1,0,F247*(1-VLOOKUP($A248,[1]Hugst!$R$5:$W$9,MATCH(ROUNDUP((G$1)/10,0)*10,[1]Hugst!$R$4:$W$4,0))))</f>
        <v>143.27183995832002</v>
      </c>
      <c r="H248" s="168">
        <f ca="1">IF($C248-H$1&lt;År1,0,G247*(1-VLOOKUP($A248,[1]Hugst!$R$5:$W$9,MATCH(ROUNDUP((H$1)/10,0)*10,[1]Hugst!$R$4:$W$4,0))))</f>
        <v>143.79597694897757</v>
      </c>
      <c r="I248" s="168">
        <f ca="1">IF($C248-I$1&lt;År1,0,H247*(1-VLOOKUP($A248,[1]Hugst!$R$5:$W$9,MATCH(ROUNDUP((I$1)/10,0)*10,[1]Hugst!$R$4:$W$4,0))))</f>
        <v>144.3232611356525</v>
      </c>
      <c r="J248" s="168">
        <f ca="1">IF($C248-J$1&lt;År1,0,I247*(1-VLOOKUP($A248,[1]Hugst!$R$5:$W$9,MATCH(ROUNDUP((J$1)/10,0)*10,[1]Hugst!$R$4:$W$4,0))))</f>
        <v>144.85371135863397</v>
      </c>
      <c r="K248" s="168">
        <f ca="1">IF($C248-K$1&lt;År1,0,J247*(1-VLOOKUP($A248,[1]Hugst!$R$5:$W$9,MATCH(ROUNDUP((K$1)/10,0)*10,[1]Hugst!$R$4:$W$4,0))))</f>
        <v>145.38734656353017</v>
      </c>
      <c r="L248" s="168">
        <f ca="1">IF($C248-L$1&lt;År1,0,K247*(1-VLOOKUP($A248,[1]Hugst!$R$5:$W$9,MATCH(ROUNDUP((L$1)/10,0)*10,[1]Hugst!$R$4:$W$4,0))))</f>
        <v>145.92418580178082</v>
      </c>
      <c r="M248" s="168">
        <f ca="1">IF($C248-M$1&lt;År1,0,L247*(1-VLOOKUP($A248,[1]Hugst!$R$5:$W$9,MATCH(ROUNDUP((M$1)/10,0)*10,[1]Hugst!$R$4:$W$4,0))))</f>
        <v>146.46424823121424</v>
      </c>
      <c r="N248" s="168">
        <f ca="1">IF($C248-N$1&lt;År1,0,M247*(1-VLOOKUP($A248,[1]Hugst!$R$5:$W$9,MATCH(ROUNDUP((N$1)/10,0)*10,[1]Hugst!$R$4:$W$4,0))))</f>
        <v>147.00755311664943</v>
      </c>
      <c r="O248" s="168">
        <f ca="1">IF($C248-O$1&lt;År1,0,N247*(1-VLOOKUP($A248,[1]Hugst!$R$5:$W$9,MATCH(ROUNDUP((O$1)/10,0)*10,[1]Hugst!$R$4:$W$4,0))))</f>
        <v>147.55411983042995</v>
      </c>
      <c r="P248" s="168">
        <f ca="1">IF($C248-P$1&lt;År1,0,O247*(1-VLOOKUP($A248,[1]Hugst!$R$5:$W$9,MATCH(ROUNDUP((P$1)/10,0)*10,[1]Hugst!$R$4:$W$4,0))))</f>
        <v>147.77886158213093</v>
      </c>
      <c r="Q248" s="168">
        <f ca="1">IF($C248-Q$1&lt;År1,0,P247*(1-VLOOKUP($A248,[1]Hugst!$R$5:$W$9,MATCH(ROUNDUP((Q$1)/10,0)*10,[1]Hugst!$R$4:$W$4,0))))</f>
        <v>147.85265396370269</v>
      </c>
      <c r="R248" s="168">
        <f ca="1">IF($C248-R$1&lt;År1,0,Q247*(1-VLOOKUP($A248,[1]Hugst!$R$5:$W$9,MATCH(ROUNDUP((R$1)/10,0)*10,[1]Hugst!$R$4:$W$4,0))))</f>
        <v>147.92665436399074</v>
      </c>
      <c r="S248" s="168">
        <f ca="1">IF($C248-S$1&lt;År1,0,R247*(1-VLOOKUP($A248,[1]Hugst!$R$5:$W$9,MATCH(ROUNDUP((S$1)/10,0)*10,[1]Hugst!$R$4:$W$4,0))))</f>
        <v>148.00086336940456</v>
      </c>
      <c r="T248" s="168">
        <f ca="1">IF($C248-T$1&lt;År1,0,S247*(1-VLOOKUP($A248,[1]Hugst!$R$5:$W$9,MATCH(ROUNDUP((T$1)/10,0)*10,[1]Hugst!$R$4:$W$4,0))))</f>
        <v>148.07528156799873</v>
      </c>
      <c r="U248" s="168">
        <f ca="1">IF($C248-U$1&lt;År1,0,T247*(1-VLOOKUP($A248,[1]Hugst!$R$5:$W$9,MATCH(ROUNDUP((U$1)/10,0)*10,[1]Hugst!$R$4:$W$4,0))))</f>
        <v>148.14990954947405</v>
      </c>
      <c r="V248" s="168">
        <f ca="1">IF($C248-V$1&lt;År1,0,U247*(1-VLOOKUP($A248,[1]Hugst!$R$5:$W$9,MATCH(ROUNDUP((V$1)/10,0)*10,[1]Hugst!$R$4:$W$4,0))))</f>
        <v>148.22474790520894</v>
      </c>
      <c r="W248" s="168">
        <f ca="1">IF($C248-W$1&lt;År1,0,V247*(1-VLOOKUP($A248,[1]Hugst!$R$5:$W$9,MATCH(ROUNDUP((W$1)/10,0)*10,[1]Hugst!$R$4:$W$4,0))))</f>
        <v>148.29979722824427</v>
      </c>
      <c r="X248" s="168">
        <f ca="1">IF($C248-X$1&lt;År1,0,W247*(1-VLOOKUP($A248,[1]Hugst!$R$5:$W$9,MATCH(ROUNDUP((X$1)/10,0)*10,[1]Hugst!$R$4:$W$4,0))))</f>
        <v>148.37505811328134</v>
      </c>
      <c r="Y248" s="168">
        <f ca="1">IF($C248-Y$1&lt;År1,0,X247*(1-VLOOKUP($A248,[1]Hugst!$R$5:$W$9,MATCH(ROUNDUP((Y$1)/10,0)*10,[1]Hugst!$R$4:$W$4,0))))</f>
        <v>148.45053115672766</v>
      </c>
      <c r="Z248" s="168">
        <f ca="1">IF($C248-Z$1&lt;År1,0,Y247*(1-VLOOKUP($A248,[1]Hugst!$R$5:$W$9,MATCH(ROUNDUP((Z$1)/10,0)*10,[1]Hugst!$R$4:$W$4,0))))</f>
        <v>148.67143936382072</v>
      </c>
      <c r="AA248" s="168">
        <f ca="1">IF($C248-AA$1&lt;År1,0,Z247*(1-VLOOKUP($A248,[1]Hugst!$R$5:$W$9,MATCH(ROUNDUP((AA$1)/10,0)*10,[1]Hugst!$R$4:$W$4,0))))</f>
        <v>149.23631430196116</v>
      </c>
      <c r="AB248" s="168">
        <f ca="1">IF($C248-AB$1&lt;År1,0,AA247*(1-VLOOKUP($A248,[1]Hugst!$R$5:$W$9,MATCH(ROUNDUP((AB$1)/10,0)*10,[1]Hugst!$R$4:$W$4,0))))</f>
        <v>149.80333547408196</v>
      </c>
      <c r="AC248" s="168">
        <f ca="1">IF($C248-AC$1&lt;År1,0,AB247*(1-VLOOKUP($A248,[1]Hugst!$R$5:$W$9,MATCH(ROUNDUP((AC$1)/10,0)*10,[1]Hugst!$R$4:$W$4,0))))</f>
        <v>150.37251103478258</v>
      </c>
      <c r="AD248" s="168">
        <f ca="1">IF($C248-AD$1&lt;År1,0,AC247*(1-VLOOKUP($A248,[1]Hugst!$R$5:$W$9,MATCH(ROUNDUP((AD$1)/10,0)*10,[1]Hugst!$R$4:$W$4,0))))</f>
        <v>150.9438491696059</v>
      </c>
      <c r="AE248" s="168">
        <f ca="1">IF($C248-AE$1&lt;År1,0,AD247*(1-VLOOKUP($A248,[1]Hugst!$R$5:$W$9,MATCH(ROUNDUP((AE$1)/10,0)*10,[1]Hugst!$R$4:$W$4,0))))</f>
        <v>151.51735809524371</v>
      </c>
      <c r="AF248" s="168">
        <f ca="1">IF($C248-AF$1&lt;År1,0,AE247*(1-VLOOKUP($A248,[1]Hugst!$R$5:$W$9,MATCH(ROUNDUP((AF$1)/10,0)*10,[1]Hugst!$R$4:$W$4,0))))</f>
        <v>152.09304605956763</v>
      </c>
      <c r="AG248" s="168">
        <f ca="1">IF($C248-AG$1&lt;År1,0,AF247*(1-VLOOKUP($A248,[1]Hugst!$R$5:$W$9,MATCH(ROUNDUP((AG$1)/10,0)*10,[1]Hugst!$R$4:$W$4,0))))</f>
        <v>152.67092134181766</v>
      </c>
      <c r="AH248" s="168">
        <f ca="1">IF($C248-AH$1&lt;År1,0,AG247*(1-VLOOKUP($A248,[1]Hugst!$R$5:$W$9,MATCH(ROUNDUP((AH$1)/10,0)*10,[1]Hugst!$R$4:$W$4,0))))</f>
        <v>153.25099225266374</v>
      </c>
      <c r="AI248" s="168">
        <f ca="1">IF($C248-AI$1&lt;År1,0,AH247*(1-VLOOKUP($A248,[1]Hugst!$R$5:$W$9,MATCH(ROUNDUP((AI$1)/10,0)*10,[1]Hugst!$R$4:$W$4,0))))</f>
        <v>153.83326713436901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177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136.95754563416267</v>
      </c>
      <c r="E249" s="168">
        <f ca="1">IF(C249=2020,SUM(G249:AJ249),SUM(F248:AJ248)-SUM(G249:AJ249))</f>
        <v>5.1903010983251079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142.14784673248778</v>
      </c>
      <c r="G249" s="168">
        <f ca="1">IF($C249-G$1&lt;År1,0,F248*(1-VLOOKUP($A249,[1]Hugst!$R$5:$W$9,MATCH(ROUNDUP((G$1)/10,0)*10,[1]Hugst!$R$4:$W$4,0))))</f>
        <v>142.75083142808217</v>
      </c>
      <c r="H249" s="168">
        <f ca="1">IF($C249-H$1&lt;År1,0,G248*(1-VLOOKUP($A249,[1]Hugst!$R$5:$W$9,MATCH(ROUNDUP((H$1)/10,0)*10,[1]Hugst!$R$4:$W$4,0))))</f>
        <v>143.27183995832002</v>
      </c>
      <c r="I249" s="168">
        <f ca="1">IF($C249-I$1&lt;År1,0,H248*(1-VLOOKUP($A249,[1]Hugst!$R$5:$W$9,MATCH(ROUNDUP((I$1)/10,0)*10,[1]Hugst!$R$4:$W$4,0))))</f>
        <v>143.79597694897757</v>
      </c>
      <c r="J249" s="168">
        <f ca="1">IF($C249-J$1&lt;År1,0,I248*(1-VLOOKUP($A249,[1]Hugst!$R$5:$W$9,MATCH(ROUNDUP((J$1)/10,0)*10,[1]Hugst!$R$4:$W$4,0))))</f>
        <v>144.3232611356525</v>
      </c>
      <c r="K249" s="168">
        <f ca="1">IF($C249-K$1&lt;År1,0,J248*(1-VLOOKUP($A249,[1]Hugst!$R$5:$W$9,MATCH(ROUNDUP((K$1)/10,0)*10,[1]Hugst!$R$4:$W$4,0))))</f>
        <v>144.85371135863397</v>
      </c>
      <c r="L249" s="168">
        <f ca="1">IF($C249-L$1&lt;År1,0,K248*(1-VLOOKUP($A249,[1]Hugst!$R$5:$W$9,MATCH(ROUNDUP((L$1)/10,0)*10,[1]Hugst!$R$4:$W$4,0))))</f>
        <v>145.38734656353017</v>
      </c>
      <c r="M249" s="168">
        <f ca="1">IF($C249-M$1&lt;År1,0,L248*(1-VLOOKUP($A249,[1]Hugst!$R$5:$W$9,MATCH(ROUNDUP((M$1)/10,0)*10,[1]Hugst!$R$4:$W$4,0))))</f>
        <v>145.92418580178082</v>
      </c>
      <c r="N249" s="168">
        <f ca="1">IF($C249-N$1&lt;År1,0,M248*(1-VLOOKUP($A249,[1]Hugst!$R$5:$W$9,MATCH(ROUNDUP((N$1)/10,0)*10,[1]Hugst!$R$4:$W$4,0))))</f>
        <v>146.46424823121424</v>
      </c>
      <c r="O249" s="168">
        <f ca="1">IF($C249-O$1&lt;År1,0,N248*(1-VLOOKUP($A249,[1]Hugst!$R$5:$W$9,MATCH(ROUNDUP((O$1)/10,0)*10,[1]Hugst!$R$4:$W$4,0))))</f>
        <v>147.00755311664943</v>
      </c>
      <c r="P249" s="168">
        <f ca="1">IF($C249-P$1&lt;År1,0,O248*(1-VLOOKUP($A249,[1]Hugst!$R$5:$W$9,MATCH(ROUNDUP((P$1)/10,0)*10,[1]Hugst!$R$4:$W$4,0))))</f>
        <v>147.2302205429973</v>
      </c>
      <c r="Q249" s="168">
        <f ca="1">IF($C249-Q$1&lt;År1,0,P248*(1-VLOOKUP($A249,[1]Hugst!$R$5:$W$9,MATCH(ROUNDUP((Q$1)/10,0)*10,[1]Hugst!$R$4:$W$4,0))))</f>
        <v>147.45446895914577</v>
      </c>
      <c r="R249" s="168">
        <f ca="1">IF($C249-R$1&lt;År1,0,Q248*(1-VLOOKUP($A249,[1]Hugst!$R$5:$W$9,MATCH(ROUNDUP((R$1)/10,0)*10,[1]Hugst!$R$4:$W$4,0))))</f>
        <v>147.52809935744091</v>
      </c>
      <c r="S249" s="168">
        <f ca="1">IF($C249-S$1&lt;År1,0,R248*(1-VLOOKUP($A249,[1]Hugst!$R$5:$W$9,MATCH(ROUNDUP((S$1)/10,0)*10,[1]Hugst!$R$4:$W$4,0))))</f>
        <v>147.60193731782587</v>
      </c>
      <c r="T249" s="168">
        <f ca="1">IF($C249-T$1&lt;År1,0,S248*(1-VLOOKUP($A249,[1]Hugst!$R$5:$W$9,MATCH(ROUNDUP((T$1)/10,0)*10,[1]Hugst!$R$4:$W$4,0))))</f>
        <v>147.67598342542294</v>
      </c>
      <c r="U249" s="168">
        <f ca="1">IF($C249-U$1&lt;År1,0,T248*(1-VLOOKUP($A249,[1]Hugst!$R$5:$W$9,MATCH(ROUNDUP((U$1)/10,0)*10,[1]Hugst!$R$4:$W$4,0))))</f>
        <v>147.75023826699581</v>
      </c>
      <c r="V249" s="168">
        <f ca="1">IF($C249-V$1&lt;År1,0,U248*(1-VLOOKUP($A249,[1]Hugst!$R$5:$W$9,MATCH(ROUNDUP((V$1)/10,0)*10,[1]Hugst!$R$4:$W$4,0))))</f>
        <v>147.82470243095082</v>
      </c>
      <c r="W249" s="168">
        <f ca="1">IF($C249-W$1&lt;År1,0,V248*(1-VLOOKUP($A249,[1]Hugst!$R$5:$W$9,MATCH(ROUNDUP((W$1)/10,0)*10,[1]Hugst!$R$4:$W$4,0))))</f>
        <v>147.89937650736823</v>
      </c>
      <c r="X249" s="168">
        <f ca="1">IF($C249-X$1&lt;År1,0,W248*(1-VLOOKUP($A249,[1]Hugst!$R$5:$W$9,MATCH(ROUNDUP((X$1)/10,0)*10,[1]Hugst!$R$4:$W$4,0))))</f>
        <v>147.97426108798714</v>
      </c>
      <c r="Y249" s="168">
        <f ca="1">IF($C249-Y$1&lt;År1,0,X248*(1-VLOOKUP($A249,[1]Hugst!$R$5:$W$9,MATCH(ROUNDUP((Y$1)/10,0)*10,[1]Hugst!$R$4:$W$4,0))))</f>
        <v>148.0493567662034</v>
      </c>
      <c r="Z249" s="168">
        <f ca="1">IF($C249-Z$1&lt;År1,0,Y248*(1-VLOOKUP($A249,[1]Hugst!$R$5:$W$9,MATCH(ROUNDUP((Z$1)/10,0)*10,[1]Hugst!$R$4:$W$4,0))))</f>
        <v>148.2694939236097</v>
      </c>
      <c r="AA249" s="168">
        <f ca="1">IF($C249-AA$1&lt;År1,0,Z248*(1-VLOOKUP($A249,[1]Hugst!$R$5:$W$9,MATCH(ROUNDUP((AA$1)/10,0)*10,[1]Hugst!$R$4:$W$4,0))))</f>
        <v>148.4901327304502</v>
      </c>
      <c r="AB249" s="168">
        <f ca="1">IF($C249-AB$1&lt;År1,0,AA248*(1-VLOOKUP($A249,[1]Hugst!$R$5:$W$9,MATCH(ROUNDUP((AB$1)/10,0)*10,[1]Hugst!$R$4:$W$4,0))))</f>
        <v>149.05431879671485</v>
      </c>
      <c r="AC249" s="168">
        <f ca="1">IF($C249-AC$1&lt;År1,0,AB248*(1-VLOOKUP($A249,[1]Hugst!$R$5:$W$9,MATCH(ROUNDUP((AC$1)/10,0)*10,[1]Hugst!$R$4:$W$4,0))))</f>
        <v>149.62064847960139</v>
      </c>
      <c r="AD249" s="168">
        <f ca="1">IF($C249-AD$1&lt;År1,0,AC248*(1-VLOOKUP($A249,[1]Hugst!$R$5:$W$9,MATCH(ROUNDUP((AD$1)/10,0)*10,[1]Hugst!$R$4:$W$4,0))))</f>
        <v>150.18912992376454</v>
      </c>
      <c r="AE249" s="168">
        <f ca="1">IF($C249-AE$1&lt;År1,0,AD248*(1-VLOOKUP($A249,[1]Hugst!$R$5:$W$9,MATCH(ROUNDUP((AE$1)/10,0)*10,[1]Hugst!$R$4:$W$4,0))))</f>
        <v>150.75977130476491</v>
      </c>
      <c r="AF249" s="168">
        <f ca="1">IF($C249-AF$1&lt;År1,0,AE248*(1-VLOOKUP($A249,[1]Hugst!$R$5:$W$9,MATCH(ROUNDUP((AF$1)/10,0)*10,[1]Hugst!$R$4:$W$4,0))))</f>
        <v>151.33258082927389</v>
      </c>
      <c r="AG249" s="168">
        <f ca="1">IF($C249-AG$1&lt;År1,0,AF248*(1-VLOOKUP($A249,[1]Hugst!$R$5:$W$9,MATCH(ROUNDUP((AG$1)/10,0)*10,[1]Hugst!$R$4:$W$4,0))))</f>
        <v>151.90756673510475</v>
      </c>
      <c r="AH249" s="168">
        <f ca="1">IF($C249-AH$1&lt;År1,0,AG248*(1-VLOOKUP($A249,[1]Hugst!$R$5:$W$9,MATCH(ROUNDUP((AH$1)/10,0)*10,[1]Hugst!$R$4:$W$4,0))))</f>
        <v>152.48473729140082</v>
      </c>
      <c r="AI249" s="168">
        <f ca="1">IF($C249-AI$1&lt;År1,0,AH248*(1-VLOOKUP($A249,[1]Hugst!$R$5:$W$9,MATCH(ROUNDUP((AI$1)/10,0)*10,[1]Hugst!$R$4:$W$4,0))))</f>
        <v>153.06410079869707</v>
      </c>
      <c r="AJ249" s="168">
        <f ca="1">IF($C249-AJ$1&lt;År1,0,AI248*(1-VLOOKUP($A249,[1]Hugst!$R$5:$W$9,MATCH(ROUNDUP((AJ$1)/10,0)*10,[1]Hugst!$R$4:$W$4,0))))</f>
        <v>153.73008628446181</v>
      </c>
    </row>
    <row r="250" spans="1:36" x14ac:dyDescent="0.25">
      <c r="A250" s="168" t="s">
        <v>178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178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178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178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178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178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178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178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178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178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178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178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178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178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178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178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178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178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178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178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178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178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178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178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178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178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178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178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178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178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178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178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178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178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178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178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178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178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178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178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178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178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178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178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178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178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178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178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178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178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178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178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178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178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178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178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178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178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178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178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178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178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4" sqref="G4:G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4" t="s">
        <v>266</v>
      </c>
      <c r="F1" s="75"/>
    </row>
    <row r="2" spans="1:7" s="318" customFormat="1" x14ac:dyDescent="0.25">
      <c r="A2" s="317"/>
      <c r="C2" s="431" t="s">
        <v>312</v>
      </c>
      <c r="D2" s="431"/>
      <c r="E2" s="431"/>
    </row>
    <row r="3" spans="1:7" s="12" customFormat="1" x14ac:dyDescent="0.25">
      <c r="B3" s="322"/>
      <c r="C3" s="2">
        <f>År1</f>
        <v>2019</v>
      </c>
      <c r="D3" s="2">
        <f>År2</f>
        <v>2030</v>
      </c>
      <c r="E3" s="2">
        <f>År3</f>
        <v>2050</v>
      </c>
      <c r="F3" s="323" t="s">
        <v>313</v>
      </c>
      <c r="G3" s="12" t="s">
        <v>309</v>
      </c>
    </row>
    <row r="4" spans="1:7" s="12" customFormat="1" x14ac:dyDescent="0.25">
      <c r="A4" s="108" t="s">
        <v>96</v>
      </c>
      <c r="B4" s="2" t="s">
        <v>23</v>
      </c>
      <c r="C4" s="113">
        <f>(502+3901)/10/F4</f>
        <v>2.9353333333333332E-3</v>
      </c>
      <c r="D4" s="3">
        <f>C4</f>
        <v>2.9353333333333332E-3</v>
      </c>
      <c r="E4" s="3">
        <f t="shared" ref="E4:E7" si="0">D4</f>
        <v>2.9353333333333332E-3</v>
      </c>
      <c r="F4" s="319">
        <v>150000</v>
      </c>
      <c r="G4" s="432"/>
    </row>
    <row r="5" spans="1:7" s="12" customFormat="1" x14ac:dyDescent="0.25">
      <c r="A5" s="108" t="s">
        <v>96</v>
      </c>
      <c r="B5" s="2" t="s">
        <v>24</v>
      </c>
      <c r="C5" s="320">
        <f>(0.6)/F5</f>
        <v>1.2E-5</v>
      </c>
      <c r="D5" s="3">
        <f t="shared" ref="D5:E5" si="1">C5</f>
        <v>1.2E-5</v>
      </c>
      <c r="E5" s="3">
        <f t="shared" si="0"/>
        <v>1.2E-5</v>
      </c>
      <c r="F5" s="110">
        <v>50000</v>
      </c>
      <c r="G5" s="432"/>
    </row>
    <row r="6" spans="1:7" s="12" customFormat="1" x14ac:dyDescent="0.25">
      <c r="A6" s="108" t="s">
        <v>97</v>
      </c>
      <c r="B6" s="2" t="s">
        <v>23</v>
      </c>
      <c r="C6" s="113">
        <f>17/F6</f>
        <v>3.6170212765957447E-4</v>
      </c>
      <c r="D6" s="3">
        <f t="shared" ref="D6:E6" si="2">C6</f>
        <v>3.6170212765957447E-4</v>
      </c>
      <c r="E6" s="3">
        <f t="shared" si="0"/>
        <v>3.6170212765957447E-4</v>
      </c>
      <c r="F6" s="319">
        <v>47000</v>
      </c>
      <c r="G6" s="433"/>
    </row>
    <row r="7" spans="1:7" s="12" customFormat="1" x14ac:dyDescent="0.25">
      <c r="A7" s="108" t="s">
        <v>97</v>
      </c>
      <c r="B7" s="2" t="s">
        <v>24</v>
      </c>
      <c r="C7" s="86">
        <f>0/F7</f>
        <v>0</v>
      </c>
      <c r="D7" s="3">
        <f t="shared" ref="D7:E7" si="3">C7</f>
        <v>0</v>
      </c>
      <c r="E7" s="3">
        <f t="shared" si="0"/>
        <v>0</v>
      </c>
      <c r="F7" s="319">
        <v>20000</v>
      </c>
      <c r="G7" s="433"/>
    </row>
    <row r="8" spans="1:7" s="12" customFormat="1" x14ac:dyDescent="0.25">
      <c r="A8" s="315"/>
      <c r="C8" s="12" t="s">
        <v>238</v>
      </c>
      <c r="F8" s="316"/>
    </row>
    <row r="9" spans="1:7" x14ac:dyDescent="0.25">
      <c r="A9" s="315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96</v>
      </c>
      <c r="B12" s="1">
        <f>C4*$F4</f>
        <v>440.29999999999995</v>
      </c>
      <c r="C12" s="1">
        <f t="shared" ref="C12:D12" si="4">D4*$F4</f>
        <v>440.29999999999995</v>
      </c>
      <c r="D12" s="1">
        <f t="shared" si="4"/>
        <v>440.29999999999995</v>
      </c>
      <c r="E12" s="1">
        <f>C5*$F$5</f>
        <v>0.6</v>
      </c>
      <c r="F12" s="1">
        <f t="shared" ref="F12:G12" si="5">D5*$F$5</f>
        <v>0.6</v>
      </c>
      <c r="G12" s="1">
        <f t="shared" si="5"/>
        <v>0.6</v>
      </c>
    </row>
    <row r="13" spans="1:7" x14ac:dyDescent="0.25">
      <c r="A13" s="108" t="s">
        <v>97</v>
      </c>
      <c r="B13" s="1">
        <f>C6*$F6</f>
        <v>17</v>
      </c>
      <c r="C13" s="1">
        <f t="shared" ref="C13:D13" si="6">D6*$F6</f>
        <v>17</v>
      </c>
      <c r="D13" s="1">
        <f t="shared" si="6"/>
        <v>17</v>
      </c>
      <c r="E13" s="1">
        <f>C7*$F$7</f>
        <v>0</v>
      </c>
      <c r="F13" s="1">
        <f t="shared" ref="F13:G13" si="7">D7*$F$7</f>
        <v>0</v>
      </c>
      <c r="G13" s="1">
        <f t="shared" si="7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0" sqref="C10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5" t="s">
        <v>266</v>
      </c>
    </row>
    <row r="2" spans="1:10" ht="15.75" x14ac:dyDescent="0.25">
      <c r="A2" s="223" t="s">
        <v>25</v>
      </c>
    </row>
    <row r="3" spans="1:10" x14ac:dyDescent="0.25">
      <c r="A3" s="6" t="s">
        <v>296</v>
      </c>
    </row>
    <row r="4" spans="1:10" x14ac:dyDescent="0.25">
      <c r="A4" s="25" t="s">
        <v>152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218</v>
      </c>
      <c r="B5" s="87">
        <v>0</v>
      </c>
      <c r="C5" s="3"/>
      <c r="D5" s="3"/>
      <c r="F5" s="25" t="str">
        <f>A5</f>
        <v>Planteprotein*</v>
      </c>
      <c r="G5" s="25" t="s">
        <v>48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212912.25589938162</v>
      </c>
      <c r="J5" s="10">
        <f>SUMIFS('Resultat-Produktion &amp; forbrug'!$N$3:$N$1000,'Resultat-Produktion &amp; forbrug'!$A$3:$A$1000,Adfærd!$G5,'Resultat-Produktion &amp; forbrug'!$D$3:$D$1000,Adfærd!J$4)</f>
        <v>212912.25589938162</v>
      </c>
    </row>
    <row r="6" spans="1:10" x14ac:dyDescent="0.25">
      <c r="A6" s="2" t="s">
        <v>104</v>
      </c>
      <c r="B6" s="87">
        <v>0</v>
      </c>
      <c r="C6" s="3"/>
      <c r="D6" s="3"/>
      <c r="F6" s="25" t="str">
        <f t="shared" ref="F6:F7" si="0">A6</f>
        <v>Muslinger</v>
      </c>
      <c r="G6" s="25" t="s">
        <v>104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-157121.32833106382</v>
      </c>
      <c r="J6" s="10">
        <f>SUMIFS('Resultat-Produktion &amp; forbrug'!$N$3:$N$1000,'Resultat-Produktion &amp; forbrug'!$A$3:$A$1000,Adfærd!$G6,'Resultat-Produktion &amp; forbrug'!$D$3:$D$1000,Adfærd!J$4)</f>
        <v>-262455.6138851064</v>
      </c>
    </row>
    <row r="7" spans="1:10" x14ac:dyDescent="0.25">
      <c r="A7" s="2" t="s">
        <v>97</v>
      </c>
      <c r="B7" s="87">
        <v>0</v>
      </c>
      <c r="C7" s="3"/>
      <c r="D7" s="3"/>
      <c r="F7" s="25" t="str">
        <f t="shared" si="0"/>
        <v>Tang</v>
      </c>
      <c r="G7" s="25" t="s">
        <v>97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-108824.36958176471</v>
      </c>
      <c r="J7" s="10">
        <f>SUMIFS('Resultat-Produktion &amp; forbrug'!$N$3:$N$1000,'Resultat-Produktion &amp; forbrug'!$A$3:$A$1000,Adfærd!$G7,'Resultat-Produktion &amp; forbrug'!$D$3:$D$1000,Adfærd!J$4)</f>
        <v>-108824.36958176471</v>
      </c>
    </row>
    <row r="8" spans="1:10" x14ac:dyDescent="0.25">
      <c r="A8" s="2" t="s">
        <v>204</v>
      </c>
      <c r="B8" s="87">
        <v>0</v>
      </c>
      <c r="C8" s="3"/>
      <c r="D8" s="3"/>
    </row>
    <row r="9" spans="1:10" x14ac:dyDescent="0.25">
      <c r="A9" s="1" t="s">
        <v>219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151</v>
      </c>
      <c r="B15" s="6"/>
      <c r="C15" s="6"/>
      <c r="D15" s="6"/>
      <c r="F15" s="1" t="s">
        <v>92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47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48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203</v>
      </c>
    </row>
    <row r="23" spans="1:9" hidden="1" x14ac:dyDescent="0.25">
      <c r="A23" s="2" t="s">
        <v>104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205</v>
      </c>
    </row>
    <row r="24" spans="1:9" hidden="1" x14ac:dyDescent="0.25">
      <c r="A24" s="2" t="s">
        <v>97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204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114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308</v>
      </c>
    </row>
    <row r="27" spans="1:9" hidden="1" x14ac:dyDescent="0.25">
      <c r="A27" s="2" t="s">
        <v>94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53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7" t="s">
        <v>30</v>
      </c>
      <c r="B31" s="306">
        <f>SUM(B17:B30)</f>
        <v>1267</v>
      </c>
      <c r="C31" s="306">
        <f>SUM(C17:C30)</f>
        <v>1267</v>
      </c>
      <c r="D31" s="306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150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9" sqref="D19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4" t="s">
        <v>266</v>
      </c>
    </row>
    <row r="2" spans="1:29" ht="46.5" customHeight="1" x14ac:dyDescent="0.2">
      <c r="A2" s="228" t="s">
        <v>136</v>
      </c>
      <c r="B2" s="228">
        <f>År1</f>
        <v>2019</v>
      </c>
      <c r="C2" s="228">
        <f>År2</f>
        <v>2030</v>
      </c>
      <c r="D2" s="228">
        <f>År3</f>
        <v>2050</v>
      </c>
      <c r="E2" s="121"/>
      <c r="F2" s="437" t="s">
        <v>319</v>
      </c>
      <c r="G2" s="438"/>
      <c r="M2" s="122"/>
      <c r="Z2" s="340" t="s">
        <v>148</v>
      </c>
      <c r="AA2" s="228">
        <f>År1</f>
        <v>2019</v>
      </c>
      <c r="AB2" s="228">
        <f>År2</f>
        <v>2030</v>
      </c>
      <c r="AC2" s="228">
        <f>År3</f>
        <v>2050</v>
      </c>
    </row>
    <row r="3" spans="1:29" x14ac:dyDescent="0.2">
      <c r="A3" s="177" t="s">
        <v>133</v>
      </c>
      <c r="B3" s="229">
        <f>N12/SUMIFS('Resultater - Danmark'!H$3:H$504,'Resultater - Danmark'!$F$3:$F$504,$A3)</f>
        <v>0.16508293217043288</v>
      </c>
      <c r="C3" s="178">
        <f>B3</f>
        <v>0.16508293217043288</v>
      </c>
      <c r="D3" s="178">
        <f t="shared" ref="D3:D8" si="0">C3</f>
        <v>0.16508293217043288</v>
      </c>
      <c r="E3" s="155"/>
      <c r="F3" s="171" t="s">
        <v>101</v>
      </c>
      <c r="G3" s="172">
        <v>0.85</v>
      </c>
      <c r="H3" s="147"/>
      <c r="N3" s="244"/>
      <c r="Z3" s="177" t="s">
        <v>108</v>
      </c>
      <c r="AA3" s="229">
        <f>SUM(C12:C14)/SUM(C12:C15)</f>
        <v>0.73155031690147754</v>
      </c>
      <c r="AB3" s="229">
        <f>SUM(D12:D14)/SUM(D12:D15)</f>
        <v>0.72376115558984744</v>
      </c>
      <c r="AC3" s="229">
        <f>SUM(E12:E14)/SUM(E12:E15)</f>
        <v>0.71548273300990206</v>
      </c>
    </row>
    <row r="4" spans="1:29" x14ac:dyDescent="0.2">
      <c r="A4" s="177" t="s">
        <v>134</v>
      </c>
      <c r="B4" s="229">
        <f>N13/SUMIFS('Resultater - Danmark'!H$3:H$504,'Resultater - Danmark'!$F$3:$F$504,$A4)</f>
        <v>0.30985833926453143</v>
      </c>
      <c r="C4" s="178">
        <f t="shared" ref="C4:D4" si="1">B4</f>
        <v>0.30985833926453143</v>
      </c>
      <c r="D4" s="178">
        <f t="shared" si="0"/>
        <v>0.30985833926453143</v>
      </c>
      <c r="E4" s="155"/>
      <c r="F4" s="171"/>
      <c r="G4" s="172"/>
      <c r="N4" s="244"/>
      <c r="Z4" s="341" t="s">
        <v>200</v>
      </c>
      <c r="AA4" s="177"/>
      <c r="AB4" s="177"/>
      <c r="AC4" s="177"/>
    </row>
    <row r="5" spans="1:29" x14ac:dyDescent="0.2">
      <c r="A5" s="177" t="s">
        <v>135</v>
      </c>
      <c r="B5" s="229">
        <v>0.5</v>
      </c>
      <c r="C5" s="178">
        <f t="shared" ref="C5:D5" si="2">B5</f>
        <v>0.5</v>
      </c>
      <c r="D5" s="178">
        <f t="shared" si="0"/>
        <v>0.5</v>
      </c>
      <c r="E5" s="155"/>
      <c r="F5" s="171"/>
      <c r="G5" s="172"/>
      <c r="H5" s="124"/>
      <c r="N5" s="244"/>
      <c r="Z5" s="177" t="s">
        <v>133</v>
      </c>
      <c r="AA5" s="342">
        <f t="shared" ref="AA5:AC6" si="3">C12/C$29</f>
        <v>0.22267199142680771</v>
      </c>
      <c r="AB5" s="342">
        <f t="shared" si="3"/>
        <v>0.22086676795564456</v>
      </c>
      <c r="AC5" s="342">
        <f t="shared" si="3"/>
        <v>0.21893796265972837</v>
      </c>
    </row>
    <row r="6" spans="1:29" x14ac:dyDescent="0.2">
      <c r="A6" s="177" t="s">
        <v>138</v>
      </c>
      <c r="B6" s="229">
        <f>N15/SUMIFS('Resultater - Danmark'!H$3:H$504,'Resultater - Danmark'!$F$3:$F$504,$A6)</f>
        <v>0.37924884410556858</v>
      </c>
      <c r="C6" s="178">
        <f t="shared" ref="C6:D6" si="4">B6</f>
        <v>0.37924884410556858</v>
      </c>
      <c r="D6" s="178">
        <f t="shared" si="0"/>
        <v>0.37924884410556858</v>
      </c>
      <c r="E6" s="155"/>
      <c r="F6" s="171"/>
      <c r="G6" s="172"/>
      <c r="H6" s="125"/>
      <c r="Z6" s="343" t="s">
        <v>134</v>
      </c>
      <c r="AA6" s="342">
        <f t="shared" si="3"/>
        <v>0.33257225498473725</v>
      </c>
      <c r="AB6" s="342">
        <f t="shared" si="3"/>
        <v>0.32987605939808468</v>
      </c>
      <c r="AC6" s="342">
        <f t="shared" si="3"/>
        <v>0.32699528789835974</v>
      </c>
    </row>
    <row r="7" spans="1:29" x14ac:dyDescent="0.2">
      <c r="A7" s="177" t="s">
        <v>99</v>
      </c>
      <c r="B7" s="229">
        <f>N16/SUMIFS('Resultater - Danmark'!H$3:H$504,'Resultater - Danmark'!$F$3:$F$504,$A7)</f>
        <v>0.25812101313640656</v>
      </c>
      <c r="C7" s="178">
        <f t="shared" ref="C7:D7" si="5">B7</f>
        <v>0.25812101313640656</v>
      </c>
      <c r="D7" s="178">
        <f t="shared" si="0"/>
        <v>0.25812101313640656</v>
      </c>
      <c r="F7" s="171"/>
      <c r="G7" s="173"/>
      <c r="N7" s="156"/>
    </row>
    <row r="8" spans="1:29" ht="12.75" thickBot="1" x14ac:dyDescent="0.25">
      <c r="A8" s="177" t="s">
        <v>206</v>
      </c>
      <c r="B8" s="229">
        <v>0</v>
      </c>
      <c r="C8" s="178">
        <f t="shared" ref="C8:D8" si="6">B8</f>
        <v>0</v>
      </c>
      <c r="D8" s="178">
        <f t="shared" si="0"/>
        <v>0</v>
      </c>
      <c r="F8" s="174"/>
      <c r="G8" s="175"/>
      <c r="I8" s="156"/>
    </row>
    <row r="10" spans="1:29" ht="23.45" customHeight="1" x14ac:dyDescent="0.2">
      <c r="A10" s="126"/>
      <c r="B10" s="127"/>
      <c r="C10" s="435" t="s">
        <v>208</v>
      </c>
      <c r="D10" s="435"/>
      <c r="E10" s="435"/>
      <c r="F10" s="434" t="s">
        <v>320</v>
      </c>
      <c r="G10" s="434"/>
      <c r="J10" s="436" t="s">
        <v>209</v>
      </c>
      <c r="K10" s="436"/>
      <c r="L10" s="436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103</v>
      </c>
      <c r="I11" s="128" t="s">
        <v>142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212</v>
      </c>
    </row>
    <row r="12" spans="1:29" x14ac:dyDescent="0.2">
      <c r="A12" s="129" t="s">
        <v>133</v>
      </c>
      <c r="B12" s="129" t="s">
        <v>137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2914869.3333333335</v>
      </c>
      <c r="E12" s="130">
        <f>SUMIFS('Resultater - Danmark'!J$3:J$504,'Resultater - Danmark'!$F$3:$F$504,$A12)*D3</f>
        <v>2914869.3333333335</v>
      </c>
      <c r="F12" s="23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14742130.666666668</v>
      </c>
      <c r="G12" s="23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14742130.666666668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7">C12/C$29</f>
        <v>0.22267199142680771</v>
      </c>
      <c r="K12" s="131">
        <f t="shared" ref="K12:K28" si="8">D12/D$29</f>
        <v>0.22086676795564456</v>
      </c>
      <c r="L12" s="131">
        <f t="shared" ref="L12:L28" si="9">E12/E$29</f>
        <v>0.21893796265972837</v>
      </c>
      <c r="M12" s="123" t="s">
        <v>210</v>
      </c>
      <c r="N12" s="123">
        <f>S12+2/3*T12</f>
        <v>2914869.3333333335</v>
      </c>
      <c r="O12" s="149">
        <f t="shared" ref="O12:O16" si="10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134</v>
      </c>
      <c r="B13" s="124" t="s">
        <v>137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4353509.666666667</v>
      </c>
      <c r="E13" s="133">
        <f>SUMIFS('Resultater - Danmark'!J$3:J$504,'Resultater - Danmark'!$F$3:$F$504,$A13)*D4</f>
        <v>4353509.666666667</v>
      </c>
      <c r="F13" s="23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9696490.333333334</v>
      </c>
      <c r="G13" s="23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9696490.333333334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7"/>
        <v>0.33257225498473725</v>
      </c>
      <c r="K13" s="134">
        <f t="shared" si="8"/>
        <v>0.32987605939808468</v>
      </c>
      <c r="L13" s="134">
        <f t="shared" si="9"/>
        <v>0.32699528789835974</v>
      </c>
      <c r="M13" s="123" t="s">
        <v>211</v>
      </c>
      <c r="N13" s="123">
        <f>S13+1/3*T13</f>
        <v>4353509.666666667</v>
      </c>
      <c r="O13" s="149">
        <f t="shared" si="10"/>
        <v>0</v>
      </c>
      <c r="P13" s="138">
        <f t="shared" ref="P13:P28" si="11">C13*I13</f>
        <v>61384486.300000004</v>
      </c>
      <c r="Q13" s="123">
        <f t="shared" ref="Q13:Q28" si="12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135</v>
      </c>
      <c r="B14" s="124" t="s">
        <v>137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4441.5</v>
      </c>
      <c r="E14" s="133">
        <f>SUMIFS('Resultater - Danmark'!J$3:J$504,'Resultater - Danmark'!$F$3:$F$504,$A14)*D5</f>
        <v>4441.5</v>
      </c>
      <c r="F14" s="23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4441.5</v>
      </c>
      <c r="G14" s="23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4441.5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7"/>
        <v>3.3929399119623192E-4</v>
      </c>
      <c r="K14" s="134">
        <f t="shared" si="8"/>
        <v>3.3654330184097281E-4</v>
      </c>
      <c r="L14" s="134">
        <f t="shared" si="9"/>
        <v>3.3360430604316974E-4</v>
      </c>
      <c r="M14" s="126" t="s">
        <v>143</v>
      </c>
      <c r="N14" s="127">
        <v>11417</v>
      </c>
      <c r="O14" s="149">
        <f t="shared" si="10"/>
        <v>6975.5</v>
      </c>
      <c r="P14" s="138">
        <f t="shared" si="11"/>
        <v>58183.65</v>
      </c>
      <c r="Q14" s="123">
        <f t="shared" si="12"/>
        <v>2.0887930350000001E-3</v>
      </c>
    </row>
    <row r="15" spans="1:29" x14ac:dyDescent="0.2">
      <c r="A15" s="124" t="s">
        <v>138</v>
      </c>
      <c r="B15" s="124" t="s">
        <v>137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2775826.6867543529</v>
      </c>
      <c r="E15" s="133">
        <f>SUMIFS('Resultater - Danmark'!J$3:J$504,'Resultater - Danmark'!$F$3:$F$504,$A15)*D6</f>
        <v>2892093.5705389259</v>
      </c>
      <c r="F15" s="23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4543448.5856619477</v>
      </c>
      <c r="G15" s="23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4733753.193370725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7"/>
        <v>0.20387691989197443</v>
      </c>
      <c r="K15" s="134">
        <f t="shared" si="8"/>
        <v>0.21033116706036198</v>
      </c>
      <c r="L15" s="134">
        <f t="shared" si="9"/>
        <v>0.21722725849635291</v>
      </c>
      <c r="M15" s="136" t="s">
        <v>286</v>
      </c>
      <c r="N15" s="137">
        <f>SUM(S15:Z15)</f>
        <v>2668834</v>
      </c>
      <c r="O15" s="149">
        <f t="shared" si="10"/>
        <v>0</v>
      </c>
      <c r="P15" s="138">
        <f>C15*I15</f>
        <v>37096792.600000001</v>
      </c>
      <c r="Q15" s="123">
        <f t="shared" si="12"/>
        <v>1.3317748543399999</v>
      </c>
      <c r="S15" s="164">
        <v>2666649</v>
      </c>
      <c r="T15" s="123">
        <v>2185</v>
      </c>
      <c r="U15" s="164" t="s">
        <v>288</v>
      </c>
      <c r="V15" s="126"/>
      <c r="W15" s="126"/>
    </row>
    <row r="16" spans="1:29" x14ac:dyDescent="0.2">
      <c r="A16" s="124" t="s">
        <v>99</v>
      </c>
      <c r="B16" s="124" t="s">
        <v>137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757087</v>
      </c>
      <c r="E16" s="133">
        <f>SUMIFS('Resultater - Danmark'!J$3:J$504,'Resultater - Danmark'!$F$3:$F$504,$A16)*D7</f>
        <v>757087</v>
      </c>
      <c r="F16" s="23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2175983.0000000009</v>
      </c>
      <c r="G16" s="23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2175983.0000000009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7"/>
        <v>5.7835206554718369E-2</v>
      </c>
      <c r="K16" s="134">
        <f t="shared" si="8"/>
        <v>5.7366330915428705E-2</v>
      </c>
      <c r="L16" s="134">
        <f t="shared" si="9"/>
        <v>5.6865357030126143E-2</v>
      </c>
      <c r="M16" s="242" t="s">
        <v>154</v>
      </c>
      <c r="N16" s="243">
        <v>757087</v>
      </c>
      <c r="O16" s="149">
        <f t="shared" si="10"/>
        <v>0</v>
      </c>
      <c r="P16" s="138">
        <f t="shared" si="11"/>
        <v>45425220</v>
      </c>
      <c r="Q16" s="123">
        <f t="shared" si="12"/>
        <v>1.6307653980000001</v>
      </c>
    </row>
    <row r="17" spans="1:23" x14ac:dyDescent="0.2">
      <c r="A17" s="125" t="s">
        <v>206</v>
      </c>
      <c r="B17" s="124" t="s">
        <v>137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1262943.934994688</v>
      </c>
      <c r="G17" s="23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1957563.0992417661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7"/>
        <v>0</v>
      </c>
      <c r="K17" s="134">
        <f t="shared" si="8"/>
        <v>0</v>
      </c>
      <c r="L17" s="134">
        <f t="shared" si="9"/>
        <v>0</v>
      </c>
      <c r="M17" s="123" t="s">
        <v>147</v>
      </c>
      <c r="N17" s="138"/>
      <c r="O17" s="149"/>
      <c r="P17" s="138">
        <f t="shared" si="11"/>
        <v>0</v>
      </c>
      <c r="Q17" s="123">
        <f t="shared" si="12"/>
        <v>0</v>
      </c>
    </row>
    <row r="18" spans="1:23" x14ac:dyDescent="0.2">
      <c r="A18" s="124" t="s">
        <v>100</v>
      </c>
      <c r="B18" s="124" t="s">
        <v>137</v>
      </c>
      <c r="C18" s="245">
        <f t="shared" ref="C18" si="13">N18</f>
        <v>729134</v>
      </c>
      <c r="D18" s="246">
        <f>C18</f>
        <v>729134</v>
      </c>
      <c r="E18" s="246">
        <f t="shared" ref="E18:E28" si="14">D18</f>
        <v>729134</v>
      </c>
      <c r="F18" s="23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-365139.02825725614</v>
      </c>
      <c r="G18" s="23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-359357.1848904005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7"/>
        <v>5.5699827755684647E-2</v>
      </c>
      <c r="K18" s="134">
        <f t="shared" si="8"/>
        <v>5.524826383980995E-2</v>
      </c>
      <c r="L18" s="134">
        <f t="shared" si="9"/>
        <v>5.4765786802314656E-2</v>
      </c>
      <c r="M18" s="158" t="s">
        <v>284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101</v>
      </c>
      <c r="B19" s="124" t="s">
        <v>137</v>
      </c>
      <c r="C19" s="245">
        <f>N19</f>
        <v>995654</v>
      </c>
      <c r="D19" s="246">
        <f t="shared" ref="D19:E19" si="15">C19</f>
        <v>995654</v>
      </c>
      <c r="E19" s="246">
        <f t="shared" si="14"/>
        <v>995654</v>
      </c>
      <c r="F19" s="23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-268097.40526848647</v>
      </c>
      <c r="G19" s="23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-268097.40526848647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7"/>
        <v>7.6059758980185313E-2</v>
      </c>
      <c r="K19" s="134">
        <f t="shared" si="8"/>
        <v>7.5443135123533039E-2</v>
      </c>
      <c r="L19" s="134">
        <f t="shared" si="9"/>
        <v>7.478429848679638E-2</v>
      </c>
      <c r="M19" s="160" t="s">
        <v>285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65</v>
      </c>
      <c r="B20" s="124" t="s">
        <v>137</v>
      </c>
      <c r="C20" s="245">
        <f>N20</f>
        <v>75934</v>
      </c>
      <c r="D20" s="246">
        <f t="shared" ref="D20:E20" si="16">C20</f>
        <v>75934</v>
      </c>
      <c r="E20" s="246">
        <f t="shared" si="14"/>
        <v>75934</v>
      </c>
      <c r="F20" s="23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1981553.2110239798</v>
      </c>
      <c r="G20" s="23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1981553.2110239798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7"/>
        <v>5.8007317184497744E-3</v>
      </c>
      <c r="K20" s="134">
        <f t="shared" si="8"/>
        <v>5.753704622760876E-3</v>
      </c>
      <c r="L20" s="134">
        <f t="shared" si="9"/>
        <v>5.7034581504181135E-3</v>
      </c>
      <c r="M20" s="123" t="s">
        <v>144</v>
      </c>
      <c r="N20" s="138">
        <v>75934</v>
      </c>
      <c r="O20" s="149">
        <f t="shared" ref="O20:O28" si="17">N20-C20</f>
        <v>0</v>
      </c>
      <c r="P20" s="138">
        <f t="shared" si="11"/>
        <v>12195000.4</v>
      </c>
      <c r="Q20" s="123">
        <f t="shared" si="12"/>
        <v>0.43780051436</v>
      </c>
    </row>
    <row r="21" spans="1:23" x14ac:dyDescent="0.2">
      <c r="A21" s="124" t="s">
        <v>47</v>
      </c>
      <c r="B21" s="124" t="s">
        <v>137</v>
      </c>
      <c r="C21" s="245">
        <f t="shared" ref="C21:C28" si="18">N21</f>
        <v>3786</v>
      </c>
      <c r="D21" s="246">
        <f t="shared" ref="D21:E21" si="19">C21</f>
        <v>3786</v>
      </c>
      <c r="E21" s="246">
        <f t="shared" si="14"/>
        <v>3786</v>
      </c>
      <c r="F21" s="23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1953443.4408210493</v>
      </c>
      <c r="G21" s="23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1979404.7362103113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7"/>
        <v>2.8921919411661239E-4</v>
      </c>
      <c r="K21" s="134">
        <f t="shared" si="8"/>
        <v>2.868744660069623E-4</v>
      </c>
      <c r="L21" s="134">
        <f t="shared" si="9"/>
        <v>2.8436922271292148E-4</v>
      </c>
      <c r="M21" s="123" t="s">
        <v>155</v>
      </c>
      <c r="N21" s="138">
        <v>3786</v>
      </c>
      <c r="O21" s="149">
        <f t="shared" si="17"/>
        <v>0</v>
      </c>
      <c r="P21" s="138">
        <f t="shared" si="11"/>
        <v>361184.4</v>
      </c>
      <c r="Q21" s="123">
        <f t="shared" si="12"/>
        <v>1.2966519960000001E-2</v>
      </c>
    </row>
    <row r="22" spans="1:23" x14ac:dyDescent="0.2">
      <c r="A22" s="124" t="s">
        <v>50</v>
      </c>
      <c r="B22" s="124" t="s">
        <v>137</v>
      </c>
      <c r="C22" s="245">
        <f t="shared" si="18"/>
        <v>85677</v>
      </c>
      <c r="D22" s="246">
        <f t="shared" ref="D22:E22" si="20">C22</f>
        <v>85677</v>
      </c>
      <c r="E22" s="246">
        <f t="shared" si="14"/>
        <v>85677</v>
      </c>
      <c r="F22" s="23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1819692.8034743527</v>
      </c>
      <c r="G22" s="23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398192.71529104887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7"/>
        <v>6.5450166123425784E-3</v>
      </c>
      <c r="K22" s="134">
        <f t="shared" si="8"/>
        <v>6.4919555266979689E-3</v>
      </c>
      <c r="L22" s="134">
        <f t="shared" si="9"/>
        <v>6.4352619900620639E-3</v>
      </c>
      <c r="M22" s="162" t="s">
        <v>287</v>
      </c>
      <c r="N22" s="163">
        <f>SUM(S22:Z22)</f>
        <v>85677</v>
      </c>
      <c r="O22" s="149">
        <f t="shared" si="17"/>
        <v>0</v>
      </c>
      <c r="P22" s="138">
        <f t="shared" si="11"/>
        <v>4390946.25</v>
      </c>
      <c r="Q22" s="123">
        <f t="shared" si="12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52</v>
      </c>
      <c r="B23" s="124" t="s">
        <v>137</v>
      </c>
      <c r="C23" s="245">
        <f t="shared" si="18"/>
        <v>330026</v>
      </c>
      <c r="D23" s="246">
        <f t="shared" ref="D23:E23" si="21">C23</f>
        <v>330026</v>
      </c>
      <c r="E23" s="246">
        <f t="shared" si="14"/>
        <v>330026</v>
      </c>
      <c r="F23" s="23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1177450.5819942271</v>
      </c>
      <c r="G23" s="23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672895.26170467399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7"/>
        <v>2.5211266180012976E-2</v>
      </c>
      <c r="K23" s="134">
        <f t="shared" si="8"/>
        <v>2.5006875995354925E-2</v>
      </c>
      <c r="L23" s="134">
        <f t="shared" si="9"/>
        <v>2.4788493685962656E-2</v>
      </c>
      <c r="M23" s="123" t="s">
        <v>145</v>
      </c>
      <c r="N23" s="138">
        <v>330026</v>
      </c>
      <c r="O23" s="149">
        <f t="shared" si="17"/>
        <v>0</v>
      </c>
      <c r="P23" s="138">
        <f t="shared" si="11"/>
        <v>33002600</v>
      </c>
      <c r="Q23" s="123">
        <f t="shared" si="12"/>
        <v>1.1847933399999999</v>
      </c>
    </row>
    <row r="24" spans="1:23" x14ac:dyDescent="0.2">
      <c r="A24" s="124" t="s">
        <v>51</v>
      </c>
      <c r="B24" s="124" t="s">
        <v>137</v>
      </c>
      <c r="C24" s="245">
        <f t="shared" si="18"/>
        <v>28645</v>
      </c>
      <c r="D24" s="246">
        <f t="shared" ref="D24:E24" si="22">C24</f>
        <v>28645</v>
      </c>
      <c r="E24" s="246">
        <f t="shared" si="14"/>
        <v>28645</v>
      </c>
      <c r="F24" s="23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534278.52151837479</v>
      </c>
      <c r="G24" s="23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-5804882.420786025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7"/>
        <v>2.1882418952642265E-3</v>
      </c>
      <c r="K24" s="134">
        <f t="shared" si="8"/>
        <v>2.1705016055915045E-3</v>
      </c>
      <c r="L24" s="134">
        <f t="shared" si="9"/>
        <v>2.1515468527764487E-3</v>
      </c>
      <c r="M24" s="123" t="s">
        <v>146</v>
      </c>
      <c r="N24" s="138">
        <v>28645</v>
      </c>
      <c r="O24" s="149">
        <f t="shared" si="17"/>
        <v>0</v>
      </c>
      <c r="P24" s="138">
        <f t="shared" si="11"/>
        <v>2165562</v>
      </c>
      <c r="Q24" s="123">
        <f t="shared" si="12"/>
        <v>7.7743675799999995E-2</v>
      </c>
    </row>
    <row r="25" spans="1:23" x14ac:dyDescent="0.2">
      <c r="A25" s="125" t="s">
        <v>160</v>
      </c>
      <c r="B25" s="124" t="s">
        <v>137</v>
      </c>
      <c r="C25" s="245">
        <f t="shared" si="18"/>
        <v>78</v>
      </c>
      <c r="D25" s="246">
        <f t="shared" ref="D25:E25" si="23">C25</f>
        <v>78</v>
      </c>
      <c r="E25" s="246">
        <f t="shared" si="14"/>
        <v>78</v>
      </c>
      <c r="F25" s="23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7"/>
        <v>5.9585570895657067E-6</v>
      </c>
      <c r="K25" s="134">
        <f t="shared" si="8"/>
        <v>5.9102504882575437E-6</v>
      </c>
      <c r="L25" s="134">
        <f t="shared" si="9"/>
        <v>5.8586369180158145E-6</v>
      </c>
      <c r="M25" s="123" t="s">
        <v>161</v>
      </c>
      <c r="N25" s="138">
        <v>78</v>
      </c>
      <c r="O25" s="149">
        <f t="shared" si="17"/>
        <v>0</v>
      </c>
      <c r="P25" s="138">
        <f t="shared" si="11"/>
        <v>3689.3999999999996</v>
      </c>
      <c r="Q25" s="123">
        <f t="shared" si="12"/>
        <v>1.3244945999999998E-4</v>
      </c>
    </row>
    <row r="26" spans="1:23" x14ac:dyDescent="0.2">
      <c r="A26" s="125" t="s">
        <v>156</v>
      </c>
      <c r="B26" s="125" t="s">
        <v>137</v>
      </c>
      <c r="C26" s="245">
        <f t="shared" si="18"/>
        <v>142742</v>
      </c>
      <c r="D26" s="246">
        <f t="shared" ref="D26:E26" si="24">C26</f>
        <v>142742</v>
      </c>
      <c r="E26" s="246">
        <f t="shared" si="14"/>
        <v>142742</v>
      </c>
      <c r="F26" s="23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7"/>
        <v>1.090431225742036E-2</v>
      </c>
      <c r="K26" s="134">
        <f t="shared" si="8"/>
        <v>1.081590993839562E-2</v>
      </c>
      <c r="L26" s="134">
        <f t="shared" si="9"/>
        <v>1.0721455781428378E-2</v>
      </c>
      <c r="M26" s="123" t="s">
        <v>159</v>
      </c>
      <c r="N26" s="123">
        <v>142742</v>
      </c>
      <c r="O26" s="149">
        <f t="shared" si="17"/>
        <v>0</v>
      </c>
      <c r="P26" s="138">
        <f t="shared" si="11"/>
        <v>60431253.120000005</v>
      </c>
      <c r="Q26" s="123">
        <f t="shared" si="12"/>
        <v>2.169481987008</v>
      </c>
    </row>
    <row r="27" spans="1:23" x14ac:dyDescent="0.2">
      <c r="A27" s="124" t="s">
        <v>104</v>
      </c>
      <c r="B27" s="124" t="s">
        <v>137</v>
      </c>
      <c r="C27" s="245">
        <f t="shared" si="18"/>
        <v>0</v>
      </c>
      <c r="D27" s="246">
        <f t="shared" ref="D27:E27" si="25">C27</f>
        <v>0</v>
      </c>
      <c r="E27" s="246">
        <f t="shared" si="14"/>
        <v>0</v>
      </c>
      <c r="F27" s="23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-157121.32833106382</v>
      </c>
      <c r="G27" s="23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-262455.61388510646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7"/>
        <v>0</v>
      </c>
      <c r="K27" s="134">
        <f t="shared" si="8"/>
        <v>0</v>
      </c>
      <c r="L27" s="134">
        <f t="shared" si="9"/>
        <v>0</v>
      </c>
      <c r="M27" s="123" t="s">
        <v>147</v>
      </c>
      <c r="O27" s="149">
        <f t="shared" si="17"/>
        <v>0</v>
      </c>
      <c r="P27" s="138">
        <f t="shared" si="11"/>
        <v>0</v>
      </c>
      <c r="Q27" s="123">
        <f t="shared" si="12"/>
        <v>0</v>
      </c>
    </row>
    <row r="28" spans="1:23" ht="12.75" thickBot="1" x14ac:dyDescent="0.25">
      <c r="A28" s="139" t="s">
        <v>97</v>
      </c>
      <c r="B28" s="139" t="s">
        <v>137</v>
      </c>
      <c r="C28" s="247">
        <f t="shared" si="18"/>
        <v>0</v>
      </c>
      <c r="D28" s="246">
        <f t="shared" ref="D28:E28" si="26">C28</f>
        <v>0</v>
      </c>
      <c r="E28" s="246">
        <f t="shared" si="14"/>
        <v>0</v>
      </c>
      <c r="F28" s="23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-108824.36958176471</v>
      </c>
      <c r="G28" s="23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-108824.36958176471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7"/>
        <v>0</v>
      </c>
      <c r="K28" s="140">
        <f t="shared" si="8"/>
        <v>0</v>
      </c>
      <c r="L28" s="140">
        <f t="shared" si="9"/>
        <v>0</v>
      </c>
      <c r="M28" s="123" t="s">
        <v>147</v>
      </c>
      <c r="O28" s="149">
        <f t="shared" si="17"/>
        <v>0</v>
      </c>
      <c r="P28" s="138">
        <f t="shared" si="11"/>
        <v>0</v>
      </c>
      <c r="Q28" s="123">
        <f t="shared" si="12"/>
        <v>0</v>
      </c>
    </row>
    <row r="29" spans="1:23" x14ac:dyDescent="0.2">
      <c r="A29" s="123" t="s">
        <v>102</v>
      </c>
      <c r="B29" s="123" t="s">
        <v>137</v>
      </c>
      <c r="C29" s="142">
        <f>SUM(C12:C28)</f>
        <v>13090417.5</v>
      </c>
      <c r="D29" s="142">
        <f>SUM(D12:D28)</f>
        <v>13197410.186754353</v>
      </c>
      <c r="E29" s="142">
        <f>SUM(E12:E28)</f>
        <v>13313677.070538927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121</v>
      </c>
      <c r="C30" s="146">
        <f>SUMPRODUCT(C12:C28,$H$12:$H$28)/C29</f>
        <v>0.13822427556900557</v>
      </c>
      <c r="D30" s="146">
        <f>SUMPRODUCT(D12:D28,$H$12:$H$28)/D29</f>
        <v>0.13759010376604527</v>
      </c>
      <c r="E30" s="146">
        <f>SUMPRODUCT(E12:E28,$H$12:$H$28)/E29</f>
        <v>0.13691251788728287</v>
      </c>
      <c r="F30" s="157"/>
      <c r="G30" s="157"/>
    </row>
    <row r="31" spans="1:23" x14ac:dyDescent="0.2">
      <c r="A31" s="145" t="s">
        <v>158</v>
      </c>
      <c r="C31" s="146">
        <f>SUM(C21:C24)/C29</f>
        <v>3.4233743881736389E-2</v>
      </c>
      <c r="D31" s="146">
        <f>SUM(D21:D24)/D29</f>
        <v>3.3956207593651359E-2</v>
      </c>
      <c r="E31" s="146">
        <f>SUM(E21:E24)/E29</f>
        <v>3.3659671751514089E-2</v>
      </c>
      <c r="F31" s="157"/>
      <c r="G31" s="157"/>
    </row>
    <row r="32" spans="1:23" x14ac:dyDescent="0.2">
      <c r="A32" s="123" t="s">
        <v>140</v>
      </c>
      <c r="B32" s="123" t="s">
        <v>141</v>
      </c>
      <c r="C32" s="123">
        <f>SUMPRODUCT(C12:C28,$I$12:$I$28)</f>
        <v>462837288.84999996</v>
      </c>
      <c r="D32" s="123">
        <f>SUMPRODUCT(D12:D28,$I$12:$I$28)</f>
        <v>464324487.19588548</v>
      </c>
      <c r="E32" s="123">
        <f>SUMPRODUCT(E12:E28,$I$12:$I$28)</f>
        <v>465940596.88049102</v>
      </c>
    </row>
    <row r="33" spans="1:15" x14ac:dyDescent="0.2">
      <c r="A33" s="123" t="s">
        <v>140</v>
      </c>
      <c r="B33" s="123" t="s">
        <v>120</v>
      </c>
      <c r="C33" s="123">
        <f>C32*[1]Energiindhold!$C$10</f>
        <v>16.615858669714999</v>
      </c>
      <c r="D33" s="123">
        <f>D32*[1]Energiindhold!$C$10</f>
        <v>16.66924909033229</v>
      </c>
      <c r="E33" s="123">
        <f>E32*[1]Energiindhold!$C$10</f>
        <v>16.727267428009629</v>
      </c>
    </row>
    <row r="34" spans="1:15" x14ac:dyDescent="0.2">
      <c r="C34" s="248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156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103</v>
      </c>
      <c r="G38" s="128" t="s">
        <v>142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103</v>
      </c>
      <c r="O38" s="128" t="s">
        <v>142</v>
      </c>
    </row>
    <row r="39" spans="1:15" hidden="1" x14ac:dyDescent="0.2">
      <c r="A39" s="129" t="str">
        <f t="shared" ref="A39:A55" si="27">A12</f>
        <v>Svinegylle</v>
      </c>
      <c r="B39" s="129" t="s">
        <v>137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2545966.1788365529</v>
      </c>
      <c r="E39" s="130">
        <f>SUMIFS('Resultater - Vestdanmark'!J$3:J$504,'Resultater - Vestdanmark'!$F$3:$F$504,$A39)*D3</f>
        <v>2545966.1788365529</v>
      </c>
      <c r="F39" s="131">
        <f>VLOOKUP(A39,[1]Biogasudbytte!$A$2:$C$18,3,FALSE)</f>
        <v>0.05</v>
      </c>
      <c r="G39" s="132">
        <f t="shared" ref="G39:G55" si="28">I12</f>
        <v>12</v>
      </c>
      <c r="I39" s="129" t="str">
        <f>A39</f>
        <v>Svinegylle</v>
      </c>
      <c r="J39" s="129" t="s">
        <v>137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368903.15449678036</v>
      </c>
      <c r="M39" s="130">
        <f>SUMIFS('Resultater - Østdanmark'!J$3:J$504,'Resultater - Østdanmark'!$F$3:$F$504,$A39)*D3</f>
        <v>368903.15449678036</v>
      </c>
      <c r="N39" s="131">
        <f>VLOOKUP(I39,[1]Biogasudbytte!$A$2:$C$18,3,FALSE)</f>
        <v>0.05</v>
      </c>
      <c r="O39" s="132">
        <f t="shared" ref="O39:O55" si="29">I12</f>
        <v>12</v>
      </c>
    </row>
    <row r="40" spans="1:15" hidden="1" x14ac:dyDescent="0.2">
      <c r="A40" s="124" t="str">
        <f t="shared" si="27"/>
        <v>Kvæggylle</v>
      </c>
      <c r="B40" s="124" t="s">
        <v>137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4064620.7701627249</v>
      </c>
      <c r="E40" s="133">
        <f>SUMIFS('Resultater - Vestdanmark'!J$3:J$504,'Resultater - Vestdanmark'!$F$3:$F$504,$A40)*D4</f>
        <v>4064620.7701627249</v>
      </c>
      <c r="F40" s="134">
        <f>VLOOKUP(A40,[1]Biogasudbytte!$A$2:$C$18,3,FALSE)</f>
        <v>7.5999999999999998E-2</v>
      </c>
      <c r="G40" s="135">
        <f t="shared" si="28"/>
        <v>14.1</v>
      </c>
      <c r="I40" s="124" t="str">
        <f t="shared" ref="I40:I55" si="30">A40</f>
        <v>Kvæggylle</v>
      </c>
      <c r="J40" s="124" t="s">
        <v>137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288888.89650394162</v>
      </c>
      <c r="M40" s="133">
        <f>SUMIFS('Resultater - Østdanmark'!J$3:J$504,'Resultater - Østdanmark'!$F$3:$F$504,$A40)*D4</f>
        <v>288888.89650394162</v>
      </c>
      <c r="N40" s="134">
        <f>VLOOKUP(I40,[1]Biogasudbytte!$A$2:$C$18,3,FALSE)</f>
        <v>7.5999999999999998E-2</v>
      </c>
      <c r="O40" s="135">
        <f t="shared" si="29"/>
        <v>14.1</v>
      </c>
    </row>
    <row r="41" spans="1:15" hidden="1" x14ac:dyDescent="0.2">
      <c r="A41" s="124" t="str">
        <f t="shared" si="27"/>
        <v>Fjerkrægylle</v>
      </c>
      <c r="B41" s="124" t="s">
        <v>137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4097.5907230830899</v>
      </c>
      <c r="E41" s="133">
        <f>SUMIFS('Resultater - Vestdanmark'!J$3:J$504,'Resultater - Vestdanmark'!$F$3:$F$504,$A41)*D5</f>
        <v>4097.5907230830899</v>
      </c>
      <c r="F41" s="134">
        <f>VLOOKUP(A41,[1]Biogasudbytte!$A$2:$C$18,3,FALSE)</f>
        <v>6.3E-2</v>
      </c>
      <c r="G41" s="135">
        <f t="shared" si="28"/>
        <v>13.1</v>
      </c>
      <c r="I41" s="124" t="str">
        <f t="shared" si="30"/>
        <v>Fjerkrægylle</v>
      </c>
      <c r="J41" s="124" t="s">
        <v>137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343.90927691691036</v>
      </c>
      <c r="M41" s="133">
        <f>SUMIFS('Resultater - Østdanmark'!J$3:J$504,'Resultater - Østdanmark'!$F$3:$F$504,$A41)*D5</f>
        <v>343.90927691691036</v>
      </c>
      <c r="N41" s="134">
        <f>VLOOKUP(I41,[1]Biogasudbytte!$A$2:$C$18,3,FALSE)</f>
        <v>6.3E-2</v>
      </c>
      <c r="O41" s="135">
        <f t="shared" si="29"/>
        <v>13.1</v>
      </c>
    </row>
    <row r="42" spans="1:15" hidden="1" x14ac:dyDescent="0.2">
      <c r="A42" s="124" t="str">
        <f t="shared" si="27"/>
        <v>Spildevandsslam</v>
      </c>
      <c r="B42" s="124" t="s">
        <v>137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1507565.0660041883</v>
      </c>
      <c r="E42" s="133">
        <f>SUMIFS('Resultater - Vestdanmark'!J$3:J$504,'Resultater - Vestdanmark'!$F$3:$F$504,$A42)*D6</f>
        <v>1564521.9239290934</v>
      </c>
      <c r="F42" s="134">
        <f>VLOOKUP(A42,[1]Biogasudbytte!$A$2:$C$18,3,FALSE)</f>
        <v>0.06</v>
      </c>
      <c r="G42" s="135">
        <f t="shared" si="28"/>
        <v>13.9</v>
      </c>
      <c r="I42" s="124" t="str">
        <f t="shared" si="30"/>
        <v>Spildevandsslam</v>
      </c>
      <c r="J42" s="124" t="s">
        <v>137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1268261.6207501648</v>
      </c>
      <c r="M42" s="133">
        <f>SUMIFS('Resultater - Østdanmark'!J$3:J$504,'Resultater - Østdanmark'!$F$3:$F$504,$A42)*D6</f>
        <v>1327571.6466098325</v>
      </c>
      <c r="N42" s="134">
        <f>VLOOKUP(I42,[1]Biogasudbytte!$A$2:$C$18,3,FALSE)</f>
        <v>0.06</v>
      </c>
      <c r="O42" s="135">
        <f t="shared" si="29"/>
        <v>13.9</v>
      </c>
    </row>
    <row r="43" spans="1:15" hidden="1" x14ac:dyDescent="0.2">
      <c r="A43" s="124" t="str">
        <f t="shared" si="27"/>
        <v>Dybstrøelse</v>
      </c>
      <c r="B43" s="124" t="s">
        <v>137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667318.32127947919</v>
      </c>
      <c r="E43" s="133">
        <f>SUMIFS('Resultater - Vestdanmark'!J$3:J$504,'Resultater - Vestdanmark'!$F$3:$F$504,$A43)*D7</f>
        <v>667318.32127947919</v>
      </c>
      <c r="F43" s="134">
        <f>VLOOKUP(A43,[1]Biogasudbytte!$A$2:$C$18,3,FALSE)</f>
        <v>0.3</v>
      </c>
      <c r="G43" s="135">
        <f t="shared" si="28"/>
        <v>60</v>
      </c>
      <c r="I43" s="124" t="str">
        <f t="shared" si="30"/>
        <v>Dybstrøelse</v>
      </c>
      <c r="J43" s="124" t="s">
        <v>137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89768.678720521071</v>
      </c>
      <c r="M43" s="133">
        <f>SUMIFS('Resultater - Østdanmark'!J$3:J$504,'Resultater - Østdanmark'!$F$3:$F$504,$A43)*D7</f>
        <v>89768.678720521071</v>
      </c>
      <c r="N43" s="134">
        <f>VLOOKUP(I43,[1]Biogasudbytte!$A$2:$C$18,3,FALSE)</f>
        <v>0.3</v>
      </c>
      <c r="O43" s="135">
        <f t="shared" si="29"/>
        <v>60</v>
      </c>
    </row>
    <row r="44" spans="1:15" hidden="1" x14ac:dyDescent="0.2">
      <c r="A44" s="125" t="str">
        <f t="shared" si="27"/>
        <v>Brun saft</v>
      </c>
      <c r="B44" s="124" t="s">
        <v>137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28"/>
        <v>15.822453396634783</v>
      </c>
      <c r="I44" s="125" t="str">
        <f t="shared" si="30"/>
        <v>Brun saft</v>
      </c>
      <c r="J44" s="124" t="s">
        <v>137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29"/>
        <v>15.822453396634783</v>
      </c>
    </row>
    <row r="45" spans="1:15" hidden="1" x14ac:dyDescent="0.2">
      <c r="A45" s="124" t="str">
        <f t="shared" si="27"/>
        <v>Bioaffald</v>
      </c>
      <c r="B45" s="124" t="s">
        <v>137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390777.6062945897</v>
      </c>
      <c r="E45" s="133">
        <f ca="1">SUMIFS('Resultater - Vestdanmark'!J$3:J$504,'Resultater - Vestdanmark'!$F$3:$F$504,$A45)/SUMIFS('Resultater - Danmark'!J$3:J$504,'Resultater - Danmark'!$F$3:$F$504,$A45)*E18</f>
        <v>389403.53007387661</v>
      </c>
      <c r="F45" s="134">
        <f>VLOOKUP(A45,[1]Biogasudbytte!$A$2:$C$18,3,FALSE)</f>
        <v>0.28000000000000003</v>
      </c>
      <c r="G45" s="135">
        <f t="shared" si="28"/>
        <v>94.9</v>
      </c>
      <c r="I45" s="124" t="str">
        <f t="shared" si="30"/>
        <v>Bioaffald</v>
      </c>
      <c r="J45" s="124" t="s">
        <v>137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338356.39370541024</v>
      </c>
      <c r="M45" s="133">
        <f ca="1">SUMIFS('Resultater - Østdanmark'!J$3:J$504,'Resultater - Østdanmark'!$F$3:$F$504,$A45)/SUMIFS('Resultater - Danmark'!J$3:J$504,'Resultater - Danmark'!$F$3:$F$504,$A45)*E18</f>
        <v>339730.46992612345</v>
      </c>
      <c r="N45" s="134">
        <f>VLOOKUP(I45,[1]Biogasudbytte!$A$2:$C$18,3,FALSE)</f>
        <v>0.28000000000000003</v>
      </c>
      <c r="O45" s="135">
        <f t="shared" si="29"/>
        <v>94.9</v>
      </c>
    </row>
    <row r="46" spans="1:15" hidden="1" x14ac:dyDescent="0.2">
      <c r="A46" s="124" t="str">
        <f t="shared" si="27"/>
        <v>Industriaffald</v>
      </c>
      <c r="B46" s="124" t="s">
        <v>137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717790.84090882004</v>
      </c>
      <c r="E46" s="133">
        <f>SUMIFS('Resultater - Vestdanmark'!J$3:J$504,'Resultater - Vestdanmark'!$F$3:$F$504,$A46)/SUMIFS('Resultater - Danmark'!J$3:J$504,'Resultater - Danmark'!$F$3:$F$504,$A46)*E19</f>
        <v>716875.2625727416</v>
      </c>
      <c r="F46" s="134">
        <f>VLOOKUP(A46,[1]Biogasudbytte!$A$2:$C$18,3,FALSE)</f>
        <v>0.42</v>
      </c>
      <c r="G46" s="135">
        <f t="shared" si="28"/>
        <v>102.595</v>
      </c>
      <c r="I46" s="124" t="str">
        <f t="shared" si="30"/>
        <v>Industriaffald</v>
      </c>
      <c r="J46" s="124" t="s">
        <v>137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277863.15909117949</v>
      </c>
      <c r="M46" s="133">
        <f>SUMIFS('Resultater - Østdanmark'!J$3:J$504,'Resultater - Østdanmark'!$F$3:$F$504,$A46)/SUMIFS('Resultater - Danmark'!J$3:J$504,'Resultater - Danmark'!$F$3:$F$504,$A46)*E19</f>
        <v>278778.73742725787</v>
      </c>
      <c r="N46" s="134">
        <f>VLOOKUP(I46,[1]Biogasudbytte!$A$2:$C$18,3,FALSE)</f>
        <v>0.42</v>
      </c>
      <c r="O46" s="135">
        <f t="shared" si="29"/>
        <v>102.595</v>
      </c>
    </row>
    <row r="47" spans="1:15" hidden="1" x14ac:dyDescent="0.2">
      <c r="A47" s="124" t="str">
        <f t="shared" si="27"/>
        <v>Halm</v>
      </c>
      <c r="B47" s="124" t="s">
        <v>137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53173.963978660795</v>
      </c>
      <c r="E47" s="133">
        <f>SUMIFS('Resultater - Vestdanmark'!J$3:J$504,'Resultater - Vestdanmark'!$F$3:$F$504,$A47)/SUMIFS('Resultater - Danmark'!J$3:J$504,'Resultater - Danmark'!$F$3:$F$504,$A47)*E20</f>
        <v>53173.963978660795</v>
      </c>
      <c r="F47" s="134">
        <f>VLOOKUP(A47,[1]Biogasudbytte!$A$2:$C$18,3,FALSE)</f>
        <v>0.85</v>
      </c>
      <c r="G47" s="135">
        <f t="shared" si="28"/>
        <v>160.6</v>
      </c>
      <c r="I47" s="124" t="str">
        <f t="shared" si="30"/>
        <v>Halm</v>
      </c>
      <c r="J47" s="124" t="s">
        <v>137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22760.036021339201</v>
      </c>
      <c r="M47" s="133">
        <f>SUMIFS('Resultater - Østdanmark'!J$3:J$504,'Resultater - Østdanmark'!$F$3:$F$504,$A47)/SUMIFS('Resultater - Danmark'!J$3:J$504,'Resultater - Danmark'!$F$3:$F$504,$A47)*E20</f>
        <v>22760.036021339201</v>
      </c>
      <c r="N47" s="134">
        <f>VLOOKUP(I47,[1]Biogasudbytte!$A$2:$C$18,3,FALSE)</f>
        <v>0.85</v>
      </c>
      <c r="O47" s="135">
        <f t="shared" si="29"/>
        <v>160.6</v>
      </c>
    </row>
    <row r="48" spans="1:15" hidden="1" x14ac:dyDescent="0.2">
      <c r="A48" s="124" t="str">
        <f t="shared" si="27"/>
        <v>Korn</v>
      </c>
      <c r="B48" s="124" t="s">
        <v>137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2843.0448080797141</v>
      </c>
      <c r="E48" s="133">
        <f>SUMIFS('Resultater - Vestdanmark'!J$3:J$504,'Resultater - Vestdanmark'!$F$3:$F$504,$A48)/SUMIFS('Resultater - Danmark'!J$3:J$504,'Resultater - Danmark'!$F$3:$F$504,$A48)*E21</f>
        <v>2843.0448080797141</v>
      </c>
      <c r="F48" s="134">
        <f>VLOOKUP(A48,[1]Biogasudbytte!$A$2:$C$18,3,FALSE)</f>
        <v>0.31</v>
      </c>
      <c r="G48" s="135">
        <f t="shared" si="28"/>
        <v>95.4</v>
      </c>
      <c r="I48" s="124" t="str">
        <f t="shared" si="30"/>
        <v>Korn</v>
      </c>
      <c r="J48" s="124" t="s">
        <v>137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942.95519192028598</v>
      </c>
      <c r="M48" s="133">
        <f>SUMIFS('Resultater - Østdanmark'!J$3:J$504,'Resultater - Østdanmark'!$F$3:$F$504,$A48)/SUMIFS('Resultater - Danmark'!J$3:J$504,'Resultater - Danmark'!$F$3:$F$504,$A48)*E21</f>
        <v>942.95519192028598</v>
      </c>
      <c r="N48" s="134">
        <f>VLOOKUP(I48,[1]Biogasudbytte!$A$2:$C$18,3,FALSE)</f>
        <v>0.31</v>
      </c>
      <c r="O48" s="135">
        <f t="shared" si="29"/>
        <v>95.4</v>
      </c>
    </row>
    <row r="49" spans="1:15" hidden="1" x14ac:dyDescent="0.2">
      <c r="A49" s="124" t="str">
        <f t="shared" si="27"/>
        <v>Græs</v>
      </c>
      <c r="B49" s="124" t="s">
        <v>137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75396.802843747093</v>
      </c>
      <c r="E49" s="133">
        <f>SUMIFS('Resultater - Vestdanmark'!J$3:J$504,'Resultater - Vestdanmark'!$F$3:$F$504,$A49)/SUMIFS('Resultater - Danmark'!J$3:J$504,'Resultater - Danmark'!$F$3:$F$504,$A49)*E22</f>
        <v>75396.802843747093</v>
      </c>
      <c r="F49" s="134">
        <f>VLOOKUP(A49,[1]Biogasudbytte!$A$2:$C$18,3,FALSE)</f>
        <v>0.28000000000000003</v>
      </c>
      <c r="G49" s="135">
        <f t="shared" si="28"/>
        <v>51.25</v>
      </c>
      <c r="I49" s="124" t="str">
        <f t="shared" si="30"/>
        <v>Græs</v>
      </c>
      <c r="J49" s="124" t="s">
        <v>137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10280.197156252889</v>
      </c>
      <c r="M49" s="133">
        <f>SUMIFS('Resultater - Østdanmark'!J$3:J$504,'Resultater - Østdanmark'!$F$3:$F$504,$A49)/SUMIFS('Resultater - Danmark'!J$3:J$504,'Resultater - Danmark'!$F$3:$F$504,$A49)*E22</f>
        <v>10280.197156252889</v>
      </c>
      <c r="N49" s="134">
        <f>VLOOKUP(I49,[1]Biogasudbytte!$A$2:$C$18,3,FALSE)</f>
        <v>0.28000000000000003</v>
      </c>
      <c r="O49" s="135">
        <f t="shared" si="29"/>
        <v>51.25</v>
      </c>
    </row>
    <row r="50" spans="1:15" hidden="1" x14ac:dyDescent="0.2">
      <c r="A50" s="124" t="str">
        <f t="shared" si="27"/>
        <v>Majs</v>
      </c>
      <c r="B50" s="124" t="s">
        <v>137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314868.82722217118</v>
      </c>
      <c r="E50" s="133">
        <f>SUMIFS('Resultater - Vestdanmark'!J$3:J$504,'Resultater - Vestdanmark'!$F$3:$F$504,$A50)/SUMIFS('Resultater - Danmark'!J$3:J$504,'Resultater - Danmark'!$F$3:$F$504,$A50)*E23</f>
        <v>314868.82722217118</v>
      </c>
      <c r="F50" s="134">
        <f>VLOOKUP(A50,[1]Biogasudbytte!$A$2:$C$18,3,FALSE)</f>
        <v>0.3</v>
      </c>
      <c r="G50" s="135">
        <f t="shared" si="28"/>
        <v>100</v>
      </c>
      <c r="I50" s="124" t="str">
        <f t="shared" si="30"/>
        <v>Majs</v>
      </c>
      <c r="J50" s="124" t="s">
        <v>137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15157.172777828771</v>
      </c>
      <c r="M50" s="133">
        <f>SUMIFS('Resultater - Østdanmark'!J$3:J$504,'Resultater - Østdanmark'!$F$3:$F$504,$A50)/SUMIFS('Resultater - Danmark'!J$3:J$504,'Resultater - Danmark'!$F$3:$F$504,$A50)*E23</f>
        <v>15157.172777828771</v>
      </c>
      <c r="N50" s="134">
        <f>VLOOKUP(I50,[1]Biogasudbytte!$A$2:$C$18,3,FALSE)</f>
        <v>0.3</v>
      </c>
      <c r="O50" s="135">
        <f t="shared" si="29"/>
        <v>100</v>
      </c>
    </row>
    <row r="51" spans="1:15" hidden="1" x14ac:dyDescent="0.2">
      <c r="A51" s="124" t="str">
        <f t="shared" si="27"/>
        <v>Roer</v>
      </c>
      <c r="B51" s="124" t="s">
        <v>137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4141.5438844560822</v>
      </c>
      <c r="E51" s="133">
        <f>SUMIFS('Resultater - Vestdanmark'!J$3:J$504,'Resultater - Vestdanmark'!$F$3:$F$504,$A51)/SUMIFS('Resultater - Danmark'!J$3:J$504,'Resultater - Danmark'!$F$3:$F$504,$A51)*E24</f>
        <v>4141.5438844560822</v>
      </c>
      <c r="F51" s="134">
        <f>VLOOKUP(A51,[1]Biogasudbytte!$A$2:$C$18,3,FALSE)</f>
        <v>0.2</v>
      </c>
      <c r="G51" s="135">
        <f t="shared" si="28"/>
        <v>75.599999999999994</v>
      </c>
      <c r="I51" s="124" t="str">
        <f t="shared" si="30"/>
        <v>Roer</v>
      </c>
      <c r="J51" s="124" t="s">
        <v>137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24503.456115543915</v>
      </c>
      <c r="M51" s="133">
        <f>SUMIFS('Resultater - Østdanmark'!J$3:J$504,'Resultater - Østdanmark'!$F$3:$F$504,$A51)/SUMIFS('Resultater - Danmark'!J$3:J$504,'Resultater - Danmark'!$F$3:$F$504,$A51)*E24</f>
        <v>24503.456115543915</v>
      </c>
      <c r="N51" s="134">
        <f>VLOOKUP(I51,[1]Biogasudbytte!$A$2:$C$18,3,FALSE)</f>
        <v>0.2</v>
      </c>
      <c r="O51" s="135">
        <f t="shared" si="29"/>
        <v>75.599999999999994</v>
      </c>
    </row>
    <row r="52" spans="1:15" hidden="1" x14ac:dyDescent="0.2">
      <c r="A52" s="124" t="str">
        <f t="shared" si="27"/>
        <v>Have/parkaffald</v>
      </c>
      <c r="B52" s="124" t="s">
        <v>137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28"/>
        <v>47.3</v>
      </c>
      <c r="I52" s="124" t="str">
        <f t="shared" si="30"/>
        <v>Have/parkaffald</v>
      </c>
      <c r="J52" s="124" t="s">
        <v>137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29"/>
        <v>47.3</v>
      </c>
    </row>
    <row r="53" spans="1:15" hidden="1" x14ac:dyDescent="0.2">
      <c r="A53" s="125" t="str">
        <f t="shared" si="27"/>
        <v>Glycerin</v>
      </c>
      <c r="B53" s="125" t="s">
        <v>137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28"/>
        <v>423.36</v>
      </c>
      <c r="I53" s="125" t="str">
        <f t="shared" si="30"/>
        <v>Glycerin</v>
      </c>
      <c r="J53" s="125" t="s">
        <v>137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29"/>
        <v>423.36</v>
      </c>
    </row>
    <row r="54" spans="1:15" hidden="1" x14ac:dyDescent="0.2">
      <c r="A54" s="124" t="str">
        <f t="shared" si="27"/>
        <v>Muslinger</v>
      </c>
      <c r="B54" s="124" t="s">
        <v>137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28"/>
        <v>25</v>
      </c>
      <c r="I54" s="124" t="str">
        <f t="shared" si="30"/>
        <v>Muslinger</v>
      </c>
      <c r="J54" s="124" t="s">
        <v>137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29"/>
        <v>25</v>
      </c>
    </row>
    <row r="55" spans="1:15" ht="12.75" hidden="1" thickBot="1" x14ac:dyDescent="0.25">
      <c r="A55" s="139" t="str">
        <f t="shared" si="27"/>
        <v>Tang</v>
      </c>
      <c r="B55" s="139" t="s">
        <v>137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28"/>
        <v>25</v>
      </c>
      <c r="I55" s="139" t="str">
        <f t="shared" si="30"/>
        <v>Tang</v>
      </c>
      <c r="J55" s="139" t="s">
        <v>137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29"/>
        <v>25</v>
      </c>
    </row>
    <row r="56" spans="1:15" hidden="1" x14ac:dyDescent="0.2">
      <c r="A56" s="123" t="s">
        <v>102</v>
      </c>
      <c r="B56" s="123" t="s">
        <v>137</v>
      </c>
      <c r="C56" s="142">
        <f ca="1">SUM(C39:C55)</f>
        <v>10411125.221732087</v>
      </c>
      <c r="D56" s="142">
        <f ca="1">SUM(D39:D55)</f>
        <v>10462795.960858168</v>
      </c>
      <c r="E56" s="142">
        <f ca="1">SUM(E39:E55)</f>
        <v>10517463.0172328</v>
      </c>
      <c r="F56" s="143"/>
      <c r="G56" s="143"/>
      <c r="I56" s="123" t="s">
        <v>102</v>
      </c>
      <c r="J56" s="123" t="s">
        <v>137</v>
      </c>
      <c r="K56" s="142">
        <f ca="1">SUM(K39:K55)</f>
        <v>2679292.2782679098</v>
      </c>
      <c r="L56" s="142">
        <f ca="1">SUM(L39:L55)</f>
        <v>2734614.2258961857</v>
      </c>
      <c r="M56" s="142">
        <f ca="1">SUM(M39:M55)</f>
        <v>2796214.053306126</v>
      </c>
      <c r="N56" s="143"/>
      <c r="O56" s="143"/>
    </row>
    <row r="57" spans="1:15" hidden="1" x14ac:dyDescent="0.2">
      <c r="A57" s="145" t="s">
        <v>121</v>
      </c>
      <c r="C57" s="146">
        <f ca="1">SUMPRODUCT(C39:C55,$F$39:$F$55)/C56</f>
        <v>0.13459391872775978</v>
      </c>
      <c r="D57" s="146">
        <f ca="1">SUMPRODUCT(D39:D55,$F$39:$F$55)/D56</f>
        <v>0.13412026578874223</v>
      </c>
      <c r="E57" s="146">
        <f ca="1">SUMPRODUCT(E39:E55,$F$39:$F$55)/E56</f>
        <v>0.13367492293479713</v>
      </c>
      <c r="I57" s="145" t="s">
        <v>121</v>
      </c>
      <c r="K57" s="146">
        <f ca="1">SUMPRODUCT(K39:K55,$N$39:$N$55)/K56</f>
        <v>0.15233102307854454</v>
      </c>
      <c r="L57" s="146">
        <f ca="1">SUMPRODUCT(L39:L55,$N$39:$N$55)/L56</f>
        <v>0.15086590933670524</v>
      </c>
      <c r="M57" s="146">
        <f ca="1">SUMPRODUCT(M39:M55,$N$39:$N$55)/M56</f>
        <v>0.14909015684066987</v>
      </c>
    </row>
    <row r="58" spans="1:15" hidden="1" x14ac:dyDescent="0.2">
      <c r="A58" s="145" t="s">
        <v>158</v>
      </c>
      <c r="C58" s="146">
        <f ca="1">SUM(C48:C51)/C56</f>
        <v>3.81572085208291E-2</v>
      </c>
      <c r="D58" s="146">
        <f ca="1">SUM(D48:D51)/D56</f>
        <v>3.7967883560435144E-2</v>
      </c>
      <c r="E58" s="146">
        <f ca="1">SUM(E48:E51)/E56</f>
        <v>3.7770536307811305E-2</v>
      </c>
      <c r="I58" s="145" t="s">
        <v>158</v>
      </c>
      <c r="K58" s="146">
        <f ca="1">SUM(K48:K51)/K56</f>
        <v>1.898804560837036E-2</v>
      </c>
      <c r="L58" s="146">
        <f ca="1">SUM(L48:L51)/L56</f>
        <v>1.8607297789826376E-2</v>
      </c>
      <c r="M58" s="146">
        <f ca="1">SUM(M48:M51)/M56</f>
        <v>1.8197384131369704E-2</v>
      </c>
    </row>
    <row r="59" spans="1:15" hidden="1" x14ac:dyDescent="0.2">
      <c r="A59" s="123" t="s">
        <v>140</v>
      </c>
      <c r="B59" s="123" t="s">
        <v>141</v>
      </c>
      <c r="C59" s="123">
        <f ca="1">SUMPRODUCT(C39:C55,$I$12:$I$28)</f>
        <v>352020220.2509163</v>
      </c>
      <c r="D59" s="123">
        <f ca="1">SUMPRODUCT(D39:D55,$I$12:$I$28)</f>
        <v>352459239.79473656</v>
      </c>
      <c r="E59" s="123">
        <f ca="1">SUMPRODUCT(E39:E55,$I$12:$I$28)</f>
        <v>353026599.57436544</v>
      </c>
      <c r="I59" s="123" t="s">
        <v>140</v>
      </c>
      <c r="J59" s="123" t="s">
        <v>141</v>
      </c>
      <c r="K59" s="123">
        <f ca="1">SUMPRODUCT(K39:K55,$I$12:$I$28)</f>
        <v>110817068.59908372</v>
      </c>
      <c r="L59" s="123">
        <f ca="1">SUMPRODUCT(L39:L55,$I$12:$I$28)</f>
        <v>111865247.40114896</v>
      </c>
      <c r="M59" s="123">
        <f ca="1">SUMPRODUCT(M39:M55,$I$12:$I$28)</f>
        <v>112913997.30612566</v>
      </c>
    </row>
    <row r="60" spans="1:15" hidden="1" x14ac:dyDescent="0.2">
      <c r="A60" s="123" t="s">
        <v>140</v>
      </c>
      <c r="B60" s="123" t="s">
        <v>120</v>
      </c>
      <c r="C60" s="123">
        <f ca="1">C59*[1]Energiindhold!$C$10</f>
        <v>12.637525907007896</v>
      </c>
      <c r="D60" s="123">
        <f ca="1">D59*[1]Energiindhold!$C$10</f>
        <v>12.653286708631043</v>
      </c>
      <c r="E60" s="123">
        <f ca="1">E59*[1]Energiindhold!$C$10</f>
        <v>12.67365492471972</v>
      </c>
      <c r="I60" s="123" t="s">
        <v>140</v>
      </c>
      <c r="J60" s="123" t="s">
        <v>120</v>
      </c>
      <c r="K60" s="123">
        <f ca="1">K59*[1]Energiindhold!$C$10</f>
        <v>3.9783327627071059</v>
      </c>
      <c r="L60" s="123">
        <f ca="1">L59*[1]Energiindhold!$C$10</f>
        <v>4.0159623817012484</v>
      </c>
      <c r="M60" s="123">
        <f ca="1">M59*[1]Energiindhold!$C$10</f>
        <v>4.0536125032899113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5" t="s">
        <v>266</v>
      </c>
    </row>
    <row r="2" spans="1:4" ht="15.75" x14ac:dyDescent="0.25">
      <c r="A2" s="223" t="s">
        <v>303</v>
      </c>
    </row>
    <row r="3" spans="1:4" x14ac:dyDescent="0.25">
      <c r="A3" s="2" t="s">
        <v>137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65</v>
      </c>
      <c r="B4" s="109">
        <v>0</v>
      </c>
      <c r="C4" s="415"/>
      <c r="D4" s="415"/>
    </row>
    <row r="5" spans="1:4" x14ac:dyDescent="0.25">
      <c r="A5" s="304"/>
    </row>
    <row r="6" spans="1:4" x14ac:dyDescent="0.25">
      <c r="A6" s="304"/>
    </row>
    <row r="7" spans="1:4" ht="15.75" x14ac:dyDescent="0.25">
      <c r="A7" s="223" t="s">
        <v>289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244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4">
        <f>SUMIFS('Forbrug af biomasse'!$E$2:$E$403,'Forbrug af biomasse'!$D$2:$D$403,'Forbrug til andet'!B$15,'Forbrug af biomasse'!$C$2:$C$403,'Forbrug til andet'!$A16,'Forbrug af biomasse'!$A$2:$A$403,"Materialer")</f>
        <v>0</v>
      </c>
      <c r="C16" s="344">
        <f>SUMIFS('Forbrug af biomasse'!$E$2:$E$403,'Forbrug af biomasse'!$D$2:$D$403,'Forbrug til andet'!C$15,'Forbrug af biomasse'!$C$2:$C$403,'Forbrug til andet'!$A16,'Forbrug af biomasse'!$A$2:$A$403,"Materialer")</f>
        <v>0</v>
      </c>
      <c r="D16" s="344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4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4">
        <f>SUMIFS('Forbrug af biomasse'!$E$2:$E$403,'Forbrug af biomasse'!$D$2:$D$403,'Forbrug til andet'!C$15,'Forbrug af biomasse'!$C$2:$C$403,'Forbrug til andet'!$A17,'Forbrug af biomasse'!$A$2:$A$403,"Materialer")</f>
        <v>0</v>
      </c>
      <c r="D17" s="344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4">
        <f>SUMIFS('Forbrug af biomasse'!$E$2:$E$403,'Forbrug af biomasse'!$D$2:$D$403,'Forbrug til andet'!B$15,'Forbrug af biomasse'!$C$2:$C$403,'Forbrug til andet'!$A18,'Forbrug af biomasse'!$A$2:$A$403,"Materialer")</f>
        <v>0</v>
      </c>
      <c r="C18" s="344">
        <f>SUMIFS('Forbrug af biomasse'!$E$2:$E$403,'Forbrug af biomasse'!$D$2:$D$403,'Forbrug til andet'!C$15,'Forbrug af biomasse'!$C$2:$C$403,'Forbrug til andet'!$A18,'Forbrug af biomasse'!$A$2:$A$403,"Materialer")</f>
        <v>0</v>
      </c>
      <c r="D18" s="344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4">
        <f>SUMIFS('Forbrug af biomasse'!$E$2:$E$403,'Forbrug af biomasse'!$D$2:$D$403,'Forbrug til andet'!B$15,'Forbrug af biomasse'!$C$2:$C$403,'Forbrug til andet'!$A19,'Forbrug af biomasse'!$A$2:$A$403,"Materialer")</f>
        <v>0</v>
      </c>
      <c r="C19" s="344">
        <f>SUMIFS('Forbrug af biomasse'!$E$2:$E$403,'Forbrug af biomasse'!$D$2:$D$403,'Forbrug til andet'!C$15,'Forbrug af biomasse'!$C$2:$C$403,'Forbrug til andet'!$A19,'Forbrug af biomasse'!$A$2:$A$403,"Materialer")</f>
        <v>0</v>
      </c>
      <c r="D19" s="344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4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4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4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83</v>
      </c>
      <c r="H1" s="95"/>
      <c r="I1" s="95"/>
    </row>
    <row r="2" spans="1:9" x14ac:dyDescent="0.25">
      <c r="A2" s="95" t="s">
        <v>63</v>
      </c>
      <c r="B2" s="95" t="s">
        <v>56</v>
      </c>
      <c r="C2" s="95" t="s">
        <v>58</v>
      </c>
      <c r="D2" s="95" t="s">
        <v>62</v>
      </c>
      <c r="E2" s="95"/>
      <c r="F2" s="95" t="s">
        <v>95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10313649.885301495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10313649.885301495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1494418.1146985053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1494418.1146985053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428793.11469850532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428793.11469850532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62130.885301494622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62130.885301494622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1183003.2176968176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1183003.2176968176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84080.782303182452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84080.782303182452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209460.78230318244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209460.78230318244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14887.217696817554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14887.217696817554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hidden="1" x14ac:dyDescent="0.25">
      <c r="A183" t="s">
        <v>23</v>
      </c>
      <c r="B183" t="s">
        <v>73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73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180</v>
      </c>
      <c r="D185" t="s">
        <v>180</v>
      </c>
      <c r="E185" s="152" t="s">
        <v>179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174</v>
      </c>
      <c r="D186" t="s">
        <v>174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5290.974115654346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4788.0641199478414</v>
      </c>
    </row>
    <row r="187" spans="1:9" hidden="1" x14ac:dyDescent="0.25">
      <c r="A187" t="s">
        <v>23</v>
      </c>
      <c r="B187" t="s">
        <v>174</v>
      </c>
      <c r="D187" t="s">
        <v>174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543.83065202883154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5032.2990814310033</v>
      </c>
    </row>
    <row r="188" spans="1:9" hidden="1" x14ac:dyDescent="0.25">
      <c r="A188" t="s">
        <v>23</v>
      </c>
      <c r="B188" t="s">
        <v>174</v>
      </c>
      <c r="D188" t="s">
        <v>174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5290.974115654346</v>
      </c>
    </row>
    <row r="189" spans="1:9" hidden="1" x14ac:dyDescent="0.25">
      <c r="A189" t="s">
        <v>23</v>
      </c>
      <c r="B189" t="s">
        <v>174</v>
      </c>
      <c r="D189" t="s">
        <v>174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542.03716796363005</v>
      </c>
    </row>
    <row r="190" spans="1:9" hidden="1" x14ac:dyDescent="0.25">
      <c r="A190" t="s">
        <v>23</v>
      </c>
      <c r="B190" t="s">
        <v>175</v>
      </c>
      <c r="D190" t="s">
        <v>175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5291.8036878354069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4923.2784450837808</v>
      </c>
    </row>
    <row r="191" spans="1:9" hidden="1" x14ac:dyDescent="0.25">
      <c r="A191" t="s">
        <v>23</v>
      </c>
      <c r="B191" t="s">
        <v>175</v>
      </c>
      <c r="D191" t="s">
        <v>175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543.0010798477706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5042.4757191929702</v>
      </c>
    </row>
    <row r="192" spans="1:9" hidden="1" x14ac:dyDescent="0.25">
      <c r="A192" t="s">
        <v>23</v>
      </c>
      <c r="B192" t="s">
        <v>175</v>
      </c>
      <c r="D192" t="s">
        <v>175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5161.7294101353318</v>
      </c>
    </row>
    <row r="193" spans="1:9" hidden="1" x14ac:dyDescent="0.25">
      <c r="A193" t="s">
        <v>23</v>
      </c>
      <c r="B193" t="s">
        <v>175</v>
      </c>
      <c r="D193" t="s">
        <v>175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525.89091058474264</v>
      </c>
    </row>
    <row r="194" spans="1:9" hidden="1" x14ac:dyDescent="0.25">
      <c r="A194" t="s">
        <v>23</v>
      </c>
      <c r="B194" t="s">
        <v>176</v>
      </c>
      <c r="D194" t="s">
        <v>176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5290.974115654346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4787.2594188863295</v>
      </c>
    </row>
    <row r="195" spans="1:9" hidden="1" x14ac:dyDescent="0.25">
      <c r="A195" t="s">
        <v>23</v>
      </c>
      <c r="B195" t="s">
        <v>176</v>
      </c>
      <c r="D195" t="s">
        <v>176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543.83065202883154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5032.2990814310033</v>
      </c>
    </row>
    <row r="196" spans="1:9" hidden="1" x14ac:dyDescent="0.25">
      <c r="A196" t="s">
        <v>23</v>
      </c>
      <c r="B196" t="s">
        <v>176</v>
      </c>
      <c r="D196" t="s">
        <v>176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5290.974115654346</v>
      </c>
    </row>
    <row r="197" spans="1:9" hidden="1" x14ac:dyDescent="0.25">
      <c r="A197" t="s">
        <v>23</v>
      </c>
      <c r="B197" t="s">
        <v>176</v>
      </c>
      <c r="D197" t="s">
        <v>176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542.84186902514273</v>
      </c>
    </row>
    <row r="198" spans="1:9" hidden="1" x14ac:dyDescent="0.25">
      <c r="A198" t="s">
        <v>23</v>
      </c>
      <c r="B198" t="s">
        <v>177</v>
      </c>
      <c r="D198" t="s">
        <v>177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5292.1678902563608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4939.8805526239648</v>
      </c>
    </row>
    <row r="199" spans="1:9" hidden="1" x14ac:dyDescent="0.25">
      <c r="A199" t="s">
        <v>23</v>
      </c>
      <c r="B199" t="s">
        <v>177</v>
      </c>
      <c r="D199" t="s">
        <v>177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542.63687742681702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5046.0005830022692</v>
      </c>
    </row>
    <row r="200" spans="1:9" hidden="1" x14ac:dyDescent="0.25">
      <c r="A200" t="s">
        <v>23</v>
      </c>
      <c r="B200" t="s">
        <v>177</v>
      </c>
      <c r="D200" t="s">
        <v>177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5142.2881571575344</v>
      </c>
    </row>
    <row r="201" spans="1:9" hidden="1" x14ac:dyDescent="0.25">
      <c r="A201" t="s">
        <v>23</v>
      </c>
      <c r="B201" t="s">
        <v>177</v>
      </c>
      <c r="D201" t="s">
        <v>177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525.20519221305642</v>
      </c>
    </row>
    <row r="202" spans="1:9" hidden="1" x14ac:dyDescent="0.25">
      <c r="A202" t="s">
        <v>23</v>
      </c>
      <c r="B202" t="s">
        <v>178</v>
      </c>
      <c r="D202" t="s">
        <v>178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178</v>
      </c>
      <c r="D203" t="s">
        <v>178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178</v>
      </c>
      <c r="D204" t="s">
        <v>178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178</v>
      </c>
      <c r="D205" t="s">
        <v>178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180</v>
      </c>
      <c r="D206" t="s">
        <v>180</v>
      </c>
      <c r="E206" t="s">
        <v>179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174</v>
      </c>
      <c r="D207" t="s">
        <v>174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1548.693576126032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1401.4894011111037</v>
      </c>
    </row>
    <row r="208" spans="1:9" hidden="1" x14ac:dyDescent="0.25">
      <c r="A208" t="s">
        <v>24</v>
      </c>
      <c r="B208" t="s">
        <v>174</v>
      </c>
      <c r="D208" t="s">
        <v>174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159.18184797116919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1472.9781492407274</v>
      </c>
    </row>
    <row r="209" spans="1:9" hidden="1" x14ac:dyDescent="0.25">
      <c r="A209" t="s">
        <v>24</v>
      </c>
      <c r="B209" t="s">
        <v>174</v>
      </c>
      <c r="D209" t="s">
        <v>174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1548.693576126032</v>
      </c>
    </row>
    <row r="210" spans="1:9" hidden="1" x14ac:dyDescent="0.25">
      <c r="A210" t="s">
        <v>24</v>
      </c>
      <c r="B210" t="s">
        <v>174</v>
      </c>
      <c r="D210" t="s">
        <v>174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158.65688655764725</v>
      </c>
    </row>
    <row r="211" spans="1:9" hidden="1" x14ac:dyDescent="0.25">
      <c r="A211" t="s">
        <v>24</v>
      </c>
      <c r="B211" t="s">
        <v>175</v>
      </c>
      <c r="D211" t="s">
        <v>175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1548.9363958941235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1441.0672845331133</v>
      </c>
    </row>
    <row r="212" spans="1:9" hidden="1" x14ac:dyDescent="0.25">
      <c r="A212" t="s">
        <v>24</v>
      </c>
      <c r="B212" t="s">
        <v>175</v>
      </c>
      <c r="D212" t="s">
        <v>175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158.93902820307758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1475.9569000688373</v>
      </c>
    </row>
    <row r="213" spans="1:9" hidden="1" x14ac:dyDescent="0.25">
      <c r="A213" t="s">
        <v>24</v>
      </c>
      <c r="B213" t="s">
        <v>175</v>
      </c>
      <c r="D213" t="s">
        <v>175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1510.8630290830242</v>
      </c>
    </row>
    <row r="214" spans="1:9" hidden="1" x14ac:dyDescent="0.25">
      <c r="A214" t="s">
        <v>24</v>
      </c>
      <c r="B214" t="s">
        <v>175</v>
      </c>
      <c r="D214" t="s">
        <v>175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153.93079935053419</v>
      </c>
    </row>
    <row r="215" spans="1:9" hidden="1" x14ac:dyDescent="0.25">
      <c r="A215" t="s">
        <v>24</v>
      </c>
      <c r="B215" t="s">
        <v>176</v>
      </c>
      <c r="D215" t="s">
        <v>176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1548.693576126032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1401.2538612393473</v>
      </c>
    </row>
    <row r="216" spans="1:9" hidden="1" x14ac:dyDescent="0.25">
      <c r="A216" t="s">
        <v>24</v>
      </c>
      <c r="B216" t="s">
        <v>176</v>
      </c>
      <c r="D216" t="s">
        <v>176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159.18184797116919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1472.9781492407274</v>
      </c>
    </row>
    <row r="217" spans="1:9" hidden="1" x14ac:dyDescent="0.25">
      <c r="A217" t="s">
        <v>24</v>
      </c>
      <c r="B217" t="s">
        <v>176</v>
      </c>
      <c r="D217" t="s">
        <v>176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1548.693576126032</v>
      </c>
    </row>
    <row r="218" spans="1:9" hidden="1" x14ac:dyDescent="0.25">
      <c r="A218" t="s">
        <v>24</v>
      </c>
      <c r="B218" t="s">
        <v>176</v>
      </c>
      <c r="D218" t="s">
        <v>176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158.89242642940343</v>
      </c>
    </row>
    <row r="219" spans="1:9" hidden="1" x14ac:dyDescent="0.25">
      <c r="A219" t="s">
        <v>24</v>
      </c>
      <c r="B219" t="s">
        <v>177</v>
      </c>
      <c r="D219" t="s">
        <v>177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1549.0429996947491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1445.9268012753287</v>
      </c>
    </row>
    <row r="220" spans="1:9" hidden="1" x14ac:dyDescent="0.25">
      <c r="A220" t="s">
        <v>24</v>
      </c>
      <c r="B220" t="s">
        <v>177</v>
      </c>
      <c r="D220" t="s">
        <v>177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158.83242440245198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1476.9886446623382</v>
      </c>
    </row>
    <row r="221" spans="1:9" hidden="1" x14ac:dyDescent="0.25">
      <c r="A221" t="s">
        <v>24</v>
      </c>
      <c r="B221" t="s">
        <v>177</v>
      </c>
      <c r="D221" t="s">
        <v>177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1505.1724808133822</v>
      </c>
    </row>
    <row r="222" spans="1:9" hidden="1" x14ac:dyDescent="0.25">
      <c r="A222" t="s">
        <v>24</v>
      </c>
      <c r="B222" t="s">
        <v>177</v>
      </c>
      <c r="D222" t="s">
        <v>177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153.73008628446181</v>
      </c>
    </row>
    <row r="223" spans="1:9" hidden="1" x14ac:dyDescent="0.25">
      <c r="A223" t="s">
        <v>24</v>
      </c>
      <c r="B223" t="s">
        <v>178</v>
      </c>
      <c r="D223" t="s">
        <v>178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178</v>
      </c>
      <c r="D224" t="s">
        <v>178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178</v>
      </c>
      <c r="D225" t="s">
        <v>178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178</v>
      </c>
      <c r="D226" t="s">
        <v>178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96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6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96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6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97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6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97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171</v>
      </c>
      <c r="B1" t="s">
        <v>63</v>
      </c>
      <c r="C1" t="s">
        <v>126</v>
      </c>
      <c r="D1" t="s">
        <v>57</v>
      </c>
      <c r="E1" t="s">
        <v>153</v>
      </c>
      <c r="F1" t="s">
        <v>304</v>
      </c>
      <c r="G1" t="s">
        <v>221</v>
      </c>
      <c r="I1" s="153" t="s">
        <v>187</v>
      </c>
      <c r="J1" s="153"/>
      <c r="K1" s="153"/>
      <c r="L1" s="153"/>
      <c r="M1" s="153"/>
    </row>
    <row r="2" spans="1:13" x14ac:dyDescent="0.25">
      <c r="A2" t="s">
        <v>125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125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125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125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125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125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125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125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125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125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125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125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125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125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125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125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125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125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125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125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125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125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125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125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125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125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125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125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125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125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125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125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125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125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125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125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125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125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125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125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125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125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125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125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125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125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125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125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125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125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125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125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125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125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125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125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125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125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125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125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125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125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125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125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125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125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125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125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125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125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125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125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125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125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125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125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125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125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125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125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125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125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125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125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107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107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107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107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107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107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107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107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107</v>
      </c>
      <c r="B94" t="s">
        <v>23</v>
      </c>
      <c r="C94" s="99" t="str">
        <f>Biogasanlæg!A20</f>
        <v>Halm</v>
      </c>
      <c r="D94">
        <f t="shared" si="6"/>
        <v>2019</v>
      </c>
      <c r="E94" s="305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107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107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107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107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107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107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107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107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107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2545966.1788365529</v>
      </c>
    </row>
    <row r="104" spans="1:5" x14ac:dyDescent="0.25">
      <c r="A104" t="s">
        <v>107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4064620.7701627249</v>
      </c>
    </row>
    <row r="105" spans="1:5" x14ac:dyDescent="0.25">
      <c r="A105" t="s">
        <v>107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4097.5907230830899</v>
      </c>
    </row>
    <row r="106" spans="1:5" x14ac:dyDescent="0.25">
      <c r="A106" t="s">
        <v>107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1507565.0660041883</v>
      </c>
    </row>
    <row r="107" spans="1:5" x14ac:dyDescent="0.25">
      <c r="A107" t="s">
        <v>107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390777.6062945897</v>
      </c>
    </row>
    <row r="108" spans="1:5" x14ac:dyDescent="0.25">
      <c r="A108" t="s">
        <v>107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717790.84090882004</v>
      </c>
    </row>
    <row r="109" spans="1:5" x14ac:dyDescent="0.25">
      <c r="A109" t="s">
        <v>107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667318.32127947919</v>
      </c>
    </row>
    <row r="110" spans="1:5" x14ac:dyDescent="0.25">
      <c r="A110" t="s">
        <v>107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107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53173.963978660795</v>
      </c>
    </row>
    <row r="112" spans="1:5" x14ac:dyDescent="0.25">
      <c r="A112" t="s">
        <v>107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2843.0448080797141</v>
      </c>
    </row>
    <row r="113" spans="1:5" x14ac:dyDescent="0.25">
      <c r="A113" t="s">
        <v>107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75396.802843747093</v>
      </c>
    </row>
    <row r="114" spans="1:5" x14ac:dyDescent="0.25">
      <c r="A114" t="s">
        <v>107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314868.82722217118</v>
      </c>
    </row>
    <row r="115" spans="1:5" x14ac:dyDescent="0.25">
      <c r="A115" t="s">
        <v>107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4141.5438844560822</v>
      </c>
    </row>
    <row r="116" spans="1:5" x14ac:dyDescent="0.25">
      <c r="A116" t="s">
        <v>107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107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107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107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107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2545966.1788365529</v>
      </c>
    </row>
    <row r="121" spans="1:5" x14ac:dyDescent="0.25">
      <c r="A121" t="s">
        <v>107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4064620.7701627249</v>
      </c>
    </row>
    <row r="122" spans="1:5" x14ac:dyDescent="0.25">
      <c r="A122" t="s">
        <v>107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4097.5907230830899</v>
      </c>
    </row>
    <row r="123" spans="1:5" x14ac:dyDescent="0.25">
      <c r="A123" t="s">
        <v>107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1564521.9239290934</v>
      </c>
    </row>
    <row r="124" spans="1:5" x14ac:dyDescent="0.25">
      <c r="A124" t="s">
        <v>107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389403.53007387661</v>
      </c>
    </row>
    <row r="125" spans="1:5" x14ac:dyDescent="0.25">
      <c r="A125" t="s">
        <v>107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716875.2625727416</v>
      </c>
    </row>
    <row r="126" spans="1:5" x14ac:dyDescent="0.25">
      <c r="A126" t="s">
        <v>107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667318.32127947919</v>
      </c>
    </row>
    <row r="127" spans="1:5" x14ac:dyDescent="0.25">
      <c r="A127" t="s">
        <v>107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107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53173.963978660795</v>
      </c>
    </row>
    <row r="129" spans="1:5" x14ac:dyDescent="0.25">
      <c r="A129" t="s">
        <v>107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2843.0448080797141</v>
      </c>
    </row>
    <row r="130" spans="1:5" x14ac:dyDescent="0.25">
      <c r="A130" t="s">
        <v>107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75396.802843747093</v>
      </c>
    </row>
    <row r="131" spans="1:5" x14ac:dyDescent="0.25">
      <c r="A131" t="s">
        <v>107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314868.82722217118</v>
      </c>
    </row>
    <row r="132" spans="1:5" x14ac:dyDescent="0.25">
      <c r="A132" t="s">
        <v>107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4141.5438844560822</v>
      </c>
    </row>
    <row r="133" spans="1:5" x14ac:dyDescent="0.25">
      <c r="A133" t="s">
        <v>107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107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107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107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107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107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107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107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107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107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107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107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107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107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107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107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107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107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107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107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107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107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368903.15449678036</v>
      </c>
    </row>
    <row r="155" spans="1:5" x14ac:dyDescent="0.25">
      <c r="A155" t="s">
        <v>107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288888.89650394162</v>
      </c>
    </row>
    <row r="156" spans="1:5" x14ac:dyDescent="0.25">
      <c r="A156" t="s">
        <v>107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343.90927691691036</v>
      </c>
    </row>
    <row r="157" spans="1:5" x14ac:dyDescent="0.25">
      <c r="A157" t="s">
        <v>107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1268261.6207501648</v>
      </c>
    </row>
    <row r="158" spans="1:5" x14ac:dyDescent="0.25">
      <c r="A158" t="s">
        <v>107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338356.39370541024</v>
      </c>
    </row>
    <row r="159" spans="1:5" x14ac:dyDescent="0.25">
      <c r="A159" t="s">
        <v>107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277863.15909117949</v>
      </c>
    </row>
    <row r="160" spans="1:5" x14ac:dyDescent="0.25">
      <c r="A160" t="s">
        <v>107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89768.678720521071</v>
      </c>
    </row>
    <row r="161" spans="1:5" x14ac:dyDescent="0.25">
      <c r="A161" t="s">
        <v>107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107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22760.036021339201</v>
      </c>
    </row>
    <row r="163" spans="1:5" x14ac:dyDescent="0.25">
      <c r="A163" t="s">
        <v>107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942.95519192028598</v>
      </c>
    </row>
    <row r="164" spans="1:5" x14ac:dyDescent="0.25">
      <c r="A164" t="s">
        <v>107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10280.197156252889</v>
      </c>
    </row>
    <row r="165" spans="1:5" x14ac:dyDescent="0.25">
      <c r="A165" t="s">
        <v>107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15157.172777828771</v>
      </c>
    </row>
    <row r="166" spans="1:5" x14ac:dyDescent="0.25">
      <c r="A166" t="s">
        <v>107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24503.456115543915</v>
      </c>
    </row>
    <row r="167" spans="1:5" x14ac:dyDescent="0.25">
      <c r="A167" t="s">
        <v>107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107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107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107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107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368903.15449678036</v>
      </c>
    </row>
    <row r="172" spans="1:5" x14ac:dyDescent="0.25">
      <c r="A172" t="s">
        <v>107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288888.89650394162</v>
      </c>
    </row>
    <row r="173" spans="1:5" x14ac:dyDescent="0.25">
      <c r="A173" t="s">
        <v>107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343.90927691691036</v>
      </c>
    </row>
    <row r="174" spans="1:5" x14ac:dyDescent="0.25">
      <c r="A174" t="s">
        <v>107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1327571.6466098325</v>
      </c>
    </row>
    <row r="175" spans="1:5" x14ac:dyDescent="0.25">
      <c r="A175" t="s">
        <v>107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339730.46992612345</v>
      </c>
    </row>
    <row r="176" spans="1:5" x14ac:dyDescent="0.25">
      <c r="A176" t="s">
        <v>107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278778.73742725787</v>
      </c>
    </row>
    <row r="177" spans="1:18" x14ac:dyDescent="0.25">
      <c r="A177" t="s">
        <v>107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89768.678720521071</v>
      </c>
    </row>
    <row r="178" spans="1:18" x14ac:dyDescent="0.25">
      <c r="A178" t="s">
        <v>107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107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22760.036021339201</v>
      </c>
    </row>
    <row r="180" spans="1:18" x14ac:dyDescent="0.25">
      <c r="A180" t="s">
        <v>107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942.95519192028598</v>
      </c>
    </row>
    <row r="181" spans="1:18" x14ac:dyDescent="0.25">
      <c r="A181" t="s">
        <v>107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10280.197156252889</v>
      </c>
    </row>
    <row r="182" spans="1:18" x14ac:dyDescent="0.25">
      <c r="A182" t="s">
        <v>107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15157.172777828771</v>
      </c>
    </row>
    <row r="183" spans="1:18" x14ac:dyDescent="0.25">
      <c r="A183" t="s">
        <v>107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24503.456115543915</v>
      </c>
    </row>
    <row r="184" spans="1:18" x14ac:dyDescent="0.25">
      <c r="A184" t="s">
        <v>107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107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107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107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110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2"/>
    </row>
    <row r="189" spans="1:18" x14ac:dyDescent="0.25">
      <c r="A189" s="100" t="s">
        <v>110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110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110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110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110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110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110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110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110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110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110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110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110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110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110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5880011.5738482494</v>
      </c>
      <c r="G203" s="312"/>
    </row>
    <row r="204" spans="1:7" x14ac:dyDescent="0.25">
      <c r="A204" s="100" t="s">
        <v>110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696107.27987490187</v>
      </c>
      <c r="G204" s="312"/>
    </row>
    <row r="205" spans="1:7" x14ac:dyDescent="0.25">
      <c r="A205" s="100" t="s">
        <v>110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2"/>
    </row>
    <row r="206" spans="1:7" x14ac:dyDescent="0.25">
      <c r="A206" s="100" t="s">
        <v>110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64498.47547519199</v>
      </c>
      <c r="G206" s="312"/>
    </row>
    <row r="207" spans="1:7" x14ac:dyDescent="0.25">
      <c r="A207" s="100" t="s">
        <v>110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1824139.6252331056</v>
      </c>
      <c r="G207" s="312"/>
    </row>
    <row r="208" spans="1:7" x14ac:dyDescent="0.25">
      <c r="A208" s="100" t="s">
        <v>110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5742281.5453988193</v>
      </c>
      <c r="G208" s="312"/>
    </row>
    <row r="209" spans="1:7" x14ac:dyDescent="0.25">
      <c r="A209" s="100" t="s">
        <v>110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262373.5684356573</v>
      </c>
      <c r="G209" s="312"/>
    </row>
    <row r="210" spans="1:7" x14ac:dyDescent="0.25">
      <c r="A210" s="100" t="s">
        <v>110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97268.074687720597</v>
      </c>
      <c r="G210" s="312"/>
    </row>
    <row r="211" spans="1:7" x14ac:dyDescent="0.25">
      <c r="A211" s="100" t="s">
        <v>110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140728.27827159574</v>
      </c>
      <c r="G211" s="312"/>
    </row>
    <row r="212" spans="1:7" x14ac:dyDescent="0.25">
      <c r="A212" s="100" t="s">
        <v>110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11930939.715450086</v>
      </c>
      <c r="G212" s="312"/>
    </row>
    <row r="213" spans="1:7" x14ac:dyDescent="0.25">
      <c r="A213" s="100" t="s">
        <v>110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2"/>
    </row>
    <row r="214" spans="1:7" x14ac:dyDescent="0.25">
      <c r="A214" s="100" t="s">
        <v>110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812348.7556337103</v>
      </c>
      <c r="G214" s="312"/>
    </row>
    <row r="215" spans="1:7" x14ac:dyDescent="0.25">
      <c r="A215" s="100" t="s">
        <v>110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384827.87367360003</v>
      </c>
      <c r="G215" s="312"/>
    </row>
    <row r="216" spans="1:7" x14ac:dyDescent="0.25">
      <c r="A216" s="100" t="s">
        <v>110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43293.13578828</v>
      </c>
      <c r="G216" s="312"/>
    </row>
    <row r="217" spans="1:7" x14ac:dyDescent="0.25">
      <c r="A217" s="100" t="s">
        <v>110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2414213.7695228118</v>
      </c>
      <c r="G217" s="312"/>
    </row>
    <row r="218" spans="1:7" x14ac:dyDescent="0.25">
      <c r="A218" s="100" t="s">
        <v>110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5835911.4870443866</v>
      </c>
    </row>
    <row r="219" spans="1:7" x14ac:dyDescent="0.25">
      <c r="A219" s="100" t="s">
        <v>110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696107.27987490187</v>
      </c>
    </row>
    <row r="220" spans="1:7" x14ac:dyDescent="0.25">
      <c r="A220" s="100" t="s">
        <v>110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110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64498.47547519199</v>
      </c>
    </row>
    <row r="222" spans="1:7" x14ac:dyDescent="0.25">
      <c r="A222" s="100" t="s">
        <v>110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7470286.0842879554</v>
      </c>
    </row>
    <row r="223" spans="1:7" x14ac:dyDescent="0.25">
      <c r="A223" s="100" t="s">
        <v>110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110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262373.5684356573</v>
      </c>
    </row>
    <row r="225" spans="1:5" x14ac:dyDescent="0.25">
      <c r="A225" s="100" t="s">
        <v>110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97268.074687720597</v>
      </c>
    </row>
    <row r="226" spans="1:5" x14ac:dyDescent="0.25">
      <c r="A226" s="100" t="s">
        <v>110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234547.13045265962</v>
      </c>
    </row>
    <row r="227" spans="1:5" x14ac:dyDescent="0.25">
      <c r="A227" s="100" t="s">
        <v>110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11930939.715450086</v>
      </c>
    </row>
    <row r="228" spans="1:5" x14ac:dyDescent="0.25">
      <c r="A228" s="100" t="s">
        <v>110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110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110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110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48103.484209200004</v>
      </c>
    </row>
    <row r="232" spans="1:5" x14ac:dyDescent="0.25">
      <c r="A232" s="100" t="s">
        <v>110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110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110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110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110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110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110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110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110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110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110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110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110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110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110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110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110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110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110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110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110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110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110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110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110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110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110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110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110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110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110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110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716306.46013408515</v>
      </c>
    </row>
    <row r="264" spans="1:5" x14ac:dyDescent="0.25">
      <c r="A264" s="100" t="s">
        <v>110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85441.004824644522</v>
      </c>
    </row>
    <row r="265" spans="1:5" x14ac:dyDescent="0.25">
      <c r="A265" s="100" t="s">
        <v>110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110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110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916911.47014555847</v>
      </c>
    </row>
    <row r="268" spans="1:5" x14ac:dyDescent="0.25">
      <c r="A268" s="100" t="s">
        <v>110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759973.58711494645</v>
      </c>
    </row>
    <row r="269" spans="1:5" x14ac:dyDescent="0.25">
      <c r="A269" s="100" t="s">
        <v>110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32204.032301743573</v>
      </c>
    </row>
    <row r="270" spans="1:5" x14ac:dyDescent="0.25">
      <c r="A270" s="100" t="s">
        <v>110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110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110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1464417.2058845724</v>
      </c>
    </row>
    <row r="273" spans="1:7" x14ac:dyDescent="0.25">
      <c r="A273" s="100" t="s">
        <v>110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110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152186.83601199096</v>
      </c>
    </row>
    <row r="275" spans="1:7" x14ac:dyDescent="0.25">
      <c r="A275" s="100" t="s">
        <v>110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73213.031670240001</v>
      </c>
    </row>
    <row r="276" spans="1:7" x14ac:dyDescent="0.25">
      <c r="A276" s="100" t="s">
        <v>110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5904.2767476000008</v>
      </c>
    </row>
    <row r="277" spans="1:7" x14ac:dyDescent="0.25">
      <c r="A277" s="100" t="s">
        <v>110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118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118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118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118</v>
      </c>
      <c r="B281" t="s">
        <v>23</v>
      </c>
      <c r="C281" t="s">
        <v>117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118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118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162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162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162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162</v>
      </c>
      <c r="B287" s="168" t="s">
        <v>23</v>
      </c>
      <c r="C287" s="168" t="s">
        <v>116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162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162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118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118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118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118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118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118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162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162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162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162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162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162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118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1238797.4979978111</v>
      </c>
      <c r="F302" s="168">
        <v>1</v>
      </c>
    </row>
    <row r="303" spans="1:7" x14ac:dyDescent="0.25">
      <c r="A303" t="s">
        <v>118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155420.83176957627</v>
      </c>
      <c r="F303" s="168">
        <v>1</v>
      </c>
    </row>
    <row r="304" spans="1:7" x14ac:dyDescent="0.25">
      <c r="A304" t="s">
        <v>118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170748.12871018023</v>
      </c>
      <c r="F304" s="168">
        <v>1</v>
      </c>
    </row>
    <row r="305" spans="1:7" x14ac:dyDescent="0.25">
      <c r="A305" t="s">
        <v>118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2205973.8787229857</v>
      </c>
      <c r="F305" s="168">
        <v>1</v>
      </c>
    </row>
    <row r="306" spans="1:7" x14ac:dyDescent="0.25">
      <c r="A306" t="s">
        <v>118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118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162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162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162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162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606689.01070739387</v>
      </c>
      <c r="F311" s="168">
        <v>1</v>
      </c>
      <c r="G311" s="168">
        <v>1</v>
      </c>
    </row>
    <row r="312" spans="1:7" x14ac:dyDescent="0.25">
      <c r="A312" t="s">
        <v>162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162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118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742755.71302616922</v>
      </c>
      <c r="F314" s="168">
        <v>1</v>
      </c>
    </row>
    <row r="315" spans="1:7" x14ac:dyDescent="0.25">
      <c r="A315" t="s">
        <v>118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61631.107456390651</v>
      </c>
      <c r="F315" s="168">
        <v>1</v>
      </c>
    </row>
    <row r="316" spans="1:7" x14ac:dyDescent="0.25">
      <c r="A316" t="s">
        <v>118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38930.749033080756</v>
      </c>
      <c r="F316" s="168">
        <v>1</v>
      </c>
    </row>
    <row r="317" spans="1:7" x14ac:dyDescent="0.25">
      <c r="A317" t="s">
        <v>118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645699.16624088504</v>
      </c>
      <c r="F317" s="168">
        <v>1</v>
      </c>
    </row>
    <row r="318" spans="1:7" x14ac:dyDescent="0.25">
      <c r="A318" t="s">
        <v>118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118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162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162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162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162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177580.79193940628</v>
      </c>
      <c r="F323" s="168">
        <v>1</v>
      </c>
      <c r="G323" s="168">
        <v>1</v>
      </c>
    </row>
    <row r="324" spans="1:7" x14ac:dyDescent="0.25">
      <c r="A324" t="s">
        <v>162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162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118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1238797.4979978111</v>
      </c>
      <c r="F326" s="168">
        <v>1</v>
      </c>
    </row>
    <row r="327" spans="1:7" x14ac:dyDescent="0.25">
      <c r="A327" t="s">
        <v>118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155420.83176957627</v>
      </c>
      <c r="F327" s="168">
        <v>1</v>
      </c>
    </row>
    <row r="328" spans="1:7" x14ac:dyDescent="0.25">
      <c r="A328" t="s">
        <v>118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170748.12871018023</v>
      </c>
      <c r="F328" s="168">
        <v>1</v>
      </c>
    </row>
    <row r="329" spans="1:7" x14ac:dyDescent="0.25">
      <c r="A329" t="s">
        <v>118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2033648.7705097673</v>
      </c>
      <c r="F329" s="168">
        <v>1</v>
      </c>
    </row>
    <row r="330" spans="1:7" x14ac:dyDescent="0.25">
      <c r="A330" t="s">
        <v>118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118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162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162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162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162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563868.14361899148</v>
      </c>
      <c r="F335" s="168">
        <v>1</v>
      </c>
      <c r="G335" s="168">
        <v>1</v>
      </c>
    </row>
    <row r="336" spans="1:7" x14ac:dyDescent="0.25">
      <c r="A336" t="s">
        <v>162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162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118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742755.71302616922</v>
      </c>
      <c r="F338" s="168">
        <v>1</v>
      </c>
    </row>
    <row r="339" spans="1:7" x14ac:dyDescent="0.25">
      <c r="A339" t="s">
        <v>118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61631.107456390651</v>
      </c>
      <c r="F339" s="168">
        <v>1</v>
      </c>
    </row>
    <row r="340" spans="1:7" x14ac:dyDescent="0.25">
      <c r="A340" t="s">
        <v>118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38930.749033080756</v>
      </c>
      <c r="F340" s="168">
        <v>1</v>
      </c>
    </row>
    <row r="341" spans="1:7" x14ac:dyDescent="0.25">
      <c r="A341" t="s">
        <v>118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595258.77808902785</v>
      </c>
      <c r="F341" s="168">
        <v>1</v>
      </c>
    </row>
    <row r="342" spans="1:7" x14ac:dyDescent="0.25">
      <c r="A342" t="s">
        <v>118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118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162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162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162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162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165046.91815088291</v>
      </c>
      <c r="F347" s="168">
        <v>1</v>
      </c>
      <c r="G347" s="168">
        <v>1</v>
      </c>
    </row>
    <row r="348" spans="1:7" x14ac:dyDescent="0.25">
      <c r="A348" t="s">
        <v>162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162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112</v>
      </c>
      <c r="B350" t="s">
        <v>23</v>
      </c>
      <c r="C350" t="s">
        <v>133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112</v>
      </c>
      <c r="B351" t="s">
        <v>23</v>
      </c>
      <c r="C351" t="s">
        <v>134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112</v>
      </c>
      <c r="B352" t="s">
        <v>23</v>
      </c>
      <c r="C352" t="s">
        <v>135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112</v>
      </c>
      <c r="B353" t="s">
        <v>23</v>
      </c>
      <c r="C353" t="s">
        <v>99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112</v>
      </c>
      <c r="B354" t="s">
        <v>23</v>
      </c>
      <c r="C354" t="s">
        <v>108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112</v>
      </c>
      <c r="B355" t="s">
        <v>23</v>
      </c>
      <c r="C355" t="s">
        <v>113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112</v>
      </c>
      <c r="B356" t="s">
        <v>23</v>
      </c>
      <c r="C356" t="s">
        <v>133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12876380.307038061</v>
      </c>
    </row>
    <row r="357" spans="1:5" x14ac:dyDescent="0.25">
      <c r="A357" t="s">
        <v>112</v>
      </c>
      <c r="B357" t="s">
        <v>23</v>
      </c>
      <c r="C357" t="s">
        <v>134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9053053.5187086407</v>
      </c>
    </row>
    <row r="358" spans="1:5" x14ac:dyDescent="0.25">
      <c r="A358" t="s">
        <v>112</v>
      </c>
      <c r="B358" t="s">
        <v>23</v>
      </c>
      <c r="C358" t="s">
        <v>135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4097.5907230830899</v>
      </c>
    </row>
    <row r="359" spans="1:5" x14ac:dyDescent="0.25">
      <c r="A359" t="s">
        <v>112</v>
      </c>
      <c r="B359" t="s">
        <v>23</v>
      </c>
      <c r="C359" t="s">
        <v>99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726090.22762539925</v>
      </c>
    </row>
    <row r="360" spans="1:5" x14ac:dyDescent="0.25">
      <c r="A360" t="s">
        <v>112</v>
      </c>
      <c r="B360" t="s">
        <v>23</v>
      </c>
      <c r="C360" t="s">
        <v>108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6961459.2759982441</v>
      </c>
    </row>
    <row r="361" spans="1:5" x14ac:dyDescent="0.25">
      <c r="A361" t="s">
        <v>112</v>
      </c>
      <c r="B361" t="s">
        <v>23</v>
      </c>
      <c r="C361" t="s">
        <v>113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569990.77245280764</v>
      </c>
    </row>
    <row r="362" spans="1:5" x14ac:dyDescent="0.25">
      <c r="A362" t="s">
        <v>112</v>
      </c>
      <c r="B362" t="s">
        <v>23</v>
      </c>
      <c r="C362" t="s">
        <v>133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12876380.307038061</v>
      </c>
    </row>
    <row r="363" spans="1:5" x14ac:dyDescent="0.25">
      <c r="A363" t="s">
        <v>112</v>
      </c>
      <c r="B363" t="s">
        <v>23</v>
      </c>
      <c r="C363" t="s">
        <v>134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9053053.5187086407</v>
      </c>
    </row>
    <row r="364" spans="1:5" x14ac:dyDescent="0.25">
      <c r="A364" t="s">
        <v>112</v>
      </c>
      <c r="B364" t="s">
        <v>23</v>
      </c>
      <c r="C364" t="s">
        <v>135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4097.5907230830899</v>
      </c>
    </row>
    <row r="365" spans="1:5" x14ac:dyDescent="0.25">
      <c r="A365" t="s">
        <v>112</v>
      </c>
      <c r="B365" t="s">
        <v>23</v>
      </c>
      <c r="C365" t="s">
        <v>99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726090.22762539925</v>
      </c>
    </row>
    <row r="366" spans="1:5" x14ac:dyDescent="0.25">
      <c r="A366" t="s">
        <v>112</v>
      </c>
      <c r="B366" t="s">
        <v>23</v>
      </c>
      <c r="C366" t="s">
        <v>108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6917790.5849595414</v>
      </c>
    </row>
    <row r="367" spans="1:5" x14ac:dyDescent="0.25">
      <c r="A367" t="s">
        <v>112</v>
      </c>
      <c r="B367" t="s">
        <v>23</v>
      </c>
      <c r="C367" t="s">
        <v>113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571901.27768575086</v>
      </c>
    </row>
    <row r="368" spans="1:5" x14ac:dyDescent="0.25">
      <c r="A368" t="s">
        <v>112</v>
      </c>
      <c r="B368" t="s">
        <v>24</v>
      </c>
      <c r="C368" t="s">
        <v>133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112</v>
      </c>
      <c r="B369" t="s">
        <v>24</v>
      </c>
      <c r="C369" t="s">
        <v>134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112</v>
      </c>
      <c r="B370" t="s">
        <v>24</v>
      </c>
      <c r="C370" t="s">
        <v>135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112</v>
      </c>
      <c r="B371" t="s">
        <v>24</v>
      </c>
      <c r="C371" t="s">
        <v>99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112</v>
      </c>
      <c r="B372" t="s">
        <v>24</v>
      </c>
      <c r="C372" t="s">
        <v>108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112</v>
      </c>
      <c r="B373" t="s">
        <v>24</v>
      </c>
      <c r="C373" t="s">
        <v>113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112</v>
      </c>
      <c r="B374" t="s">
        <v>24</v>
      </c>
      <c r="C374" t="s">
        <v>133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1865750.3596286045</v>
      </c>
    </row>
    <row r="375" spans="1:5" x14ac:dyDescent="0.25">
      <c r="A375" t="s">
        <v>112</v>
      </c>
      <c r="B375" t="s">
        <v>24</v>
      </c>
      <c r="C375" t="s">
        <v>134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643436.81462469185</v>
      </c>
    </row>
    <row r="376" spans="1:5" x14ac:dyDescent="0.25">
      <c r="A376" t="s">
        <v>112</v>
      </c>
      <c r="B376" t="s">
        <v>24</v>
      </c>
      <c r="C376" t="s">
        <v>135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343.90927691691041</v>
      </c>
    </row>
    <row r="377" spans="1:5" x14ac:dyDescent="0.25">
      <c r="A377" t="s">
        <v>112</v>
      </c>
      <c r="B377" t="s">
        <v>24</v>
      </c>
      <c r="C377" t="s">
        <v>99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97674.765231743775</v>
      </c>
    </row>
    <row r="378" spans="1:5" x14ac:dyDescent="0.25">
      <c r="A378" t="s">
        <v>112</v>
      </c>
      <c r="B378" t="s">
        <v>24</v>
      </c>
      <c r="C378" t="s">
        <v>108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1819485.5027623358</v>
      </c>
    </row>
    <row r="379" spans="1:5" x14ac:dyDescent="0.25">
      <c r="A379" t="s">
        <v>112</v>
      </c>
      <c r="B379" t="s">
        <v>24</v>
      </c>
      <c r="C379" t="s">
        <v>113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375374.67193375825</v>
      </c>
    </row>
    <row r="380" spans="1:5" x14ac:dyDescent="0.25">
      <c r="A380" t="s">
        <v>112</v>
      </c>
      <c r="B380" t="s">
        <v>24</v>
      </c>
      <c r="C380" t="s">
        <v>133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1865750.3596286045</v>
      </c>
    </row>
    <row r="381" spans="1:5" x14ac:dyDescent="0.25">
      <c r="A381" t="s">
        <v>112</v>
      </c>
      <c r="B381" t="s">
        <v>24</v>
      </c>
      <c r="C381" t="s">
        <v>134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643436.81462469185</v>
      </c>
    </row>
    <row r="382" spans="1:5" x14ac:dyDescent="0.25">
      <c r="A382" t="s">
        <v>112</v>
      </c>
      <c r="B382" t="s">
        <v>24</v>
      </c>
      <c r="C382" t="s">
        <v>135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343.90927691691041</v>
      </c>
    </row>
    <row r="383" spans="1:5" x14ac:dyDescent="0.25">
      <c r="A383" t="s">
        <v>112</v>
      </c>
      <c r="B383" t="s">
        <v>24</v>
      </c>
      <c r="C383" t="s">
        <v>99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97674.765231743775</v>
      </c>
    </row>
    <row r="384" spans="1:5" x14ac:dyDescent="0.25">
      <c r="A384" t="s">
        <v>112</v>
      </c>
      <c r="B384" t="s">
        <v>24</v>
      </c>
      <c r="C384" t="s">
        <v>108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1839190.9930938925</v>
      </c>
    </row>
    <row r="385" spans="1:7" x14ac:dyDescent="0.25">
      <c r="A385" t="s">
        <v>112</v>
      </c>
      <c r="B385" t="s">
        <v>24</v>
      </c>
      <c r="C385" t="s">
        <v>113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374512.55673175264</v>
      </c>
    </row>
    <row r="386" spans="1:7" x14ac:dyDescent="0.25">
      <c r="A386" t="s">
        <v>207</v>
      </c>
      <c r="B386" t="s">
        <v>23</v>
      </c>
      <c r="C386" t="s">
        <v>50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207</v>
      </c>
      <c r="B387" t="s">
        <v>23</v>
      </c>
      <c r="C387" t="s">
        <v>50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2301995.9904044638</v>
      </c>
      <c r="G387" s="168">
        <v>1</v>
      </c>
    </row>
    <row r="388" spans="1:7" x14ac:dyDescent="0.25">
      <c r="A388" t="s">
        <v>207</v>
      </c>
      <c r="B388" t="s">
        <v>23</v>
      </c>
      <c r="C388" t="s">
        <v>50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207</v>
      </c>
      <c r="B389" t="s">
        <v>24</v>
      </c>
      <c r="C389" t="s">
        <v>50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207</v>
      </c>
      <c r="B390" t="s">
        <v>24</v>
      </c>
      <c r="C390" t="s">
        <v>50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207</v>
      </c>
      <c r="B391" t="s">
        <v>24</v>
      </c>
      <c r="C391" t="s">
        <v>50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437951.91793512081</v>
      </c>
      <c r="G391" s="168">
        <v>1</v>
      </c>
    </row>
    <row r="392" spans="1:7" x14ac:dyDescent="0.25">
      <c r="A392" t="s">
        <v>235</v>
      </c>
      <c r="B392" t="s">
        <v>23</v>
      </c>
      <c r="C392" t="s">
        <v>49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235</v>
      </c>
      <c r="B393" t="s">
        <v>23</v>
      </c>
      <c r="C393" t="s">
        <v>49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485690.09927992581</v>
      </c>
      <c r="G393" s="168">
        <v>1</v>
      </c>
    </row>
    <row r="394" spans="1:7" x14ac:dyDescent="0.25">
      <c r="A394" t="s">
        <v>235</v>
      </c>
      <c r="B394" t="s">
        <v>23</v>
      </c>
      <c r="C394" t="s">
        <v>49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485690.09927992581</v>
      </c>
      <c r="G394" s="168">
        <v>1</v>
      </c>
    </row>
    <row r="395" spans="1:7" x14ac:dyDescent="0.25">
      <c r="A395" t="s">
        <v>235</v>
      </c>
      <c r="B395" t="s">
        <v>24</v>
      </c>
      <c r="C395" t="s">
        <v>49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235</v>
      </c>
      <c r="B396" t="s">
        <v>24</v>
      </c>
      <c r="C396" t="s">
        <v>49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192597.21080122079</v>
      </c>
      <c r="G396" s="168">
        <v>1</v>
      </c>
    </row>
    <row r="397" spans="1:7" x14ac:dyDescent="0.25">
      <c r="A397" t="s">
        <v>235</v>
      </c>
      <c r="B397" t="s">
        <v>24</v>
      </c>
      <c r="C397" t="s">
        <v>49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192597.21080122079</v>
      </c>
      <c r="G397" s="168">
        <v>1</v>
      </c>
    </row>
    <row r="398" spans="1:7" x14ac:dyDescent="0.25">
      <c r="A398" t="s">
        <v>305</v>
      </c>
      <c r="B398" s="168" t="s">
        <v>23</v>
      </c>
      <c r="C398" t="s">
        <v>65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305</v>
      </c>
      <c r="B399" s="168" t="s">
        <v>23</v>
      </c>
      <c r="C399" s="168" t="s">
        <v>65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305</v>
      </c>
      <c r="B400" s="168" t="s">
        <v>23</v>
      </c>
      <c r="C400" s="168" t="s">
        <v>65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305</v>
      </c>
      <c r="B401" s="168" t="s">
        <v>24</v>
      </c>
      <c r="C401" s="168" t="s">
        <v>65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305</v>
      </c>
      <c r="B402" s="168" t="s">
        <v>24</v>
      </c>
      <c r="C402" s="168" t="s">
        <v>65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305</v>
      </c>
      <c r="B403" s="168" t="s">
        <v>24</v>
      </c>
      <c r="C403" s="168" t="s">
        <v>65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118</v>
      </c>
      <c r="B404" s="168" t="s">
        <v>23</v>
      </c>
      <c r="C404" s="168" t="s">
        <v>301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118</v>
      </c>
      <c r="B405" s="168" t="s">
        <v>23</v>
      </c>
      <c r="C405" s="168" t="s">
        <v>302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118</v>
      </c>
      <c r="B406" s="168" t="s">
        <v>23</v>
      </c>
      <c r="C406" s="168" t="s">
        <v>301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118</v>
      </c>
      <c r="B407" s="168" t="s">
        <v>23</v>
      </c>
      <c r="C407" s="168" t="s">
        <v>302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118</v>
      </c>
      <c r="B408" s="168" t="s">
        <v>23</v>
      </c>
      <c r="C408" s="168" t="s">
        <v>301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118</v>
      </c>
      <c r="B409" s="168" t="s">
        <v>23</v>
      </c>
      <c r="C409" s="168" t="s">
        <v>302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118</v>
      </c>
      <c r="B410" s="168" t="s">
        <v>24</v>
      </c>
      <c r="C410" s="168" t="s">
        <v>301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118</v>
      </c>
      <c r="B411" s="168" t="s">
        <v>24</v>
      </c>
      <c r="C411" s="168" t="s">
        <v>302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118</v>
      </c>
      <c r="B412" s="168" t="s">
        <v>24</v>
      </c>
      <c r="C412" s="168" t="s">
        <v>301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118</v>
      </c>
      <c r="B413" s="168" t="s">
        <v>24</v>
      </c>
      <c r="C413" s="168" t="s">
        <v>302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118</v>
      </c>
      <c r="B414" s="168" t="s">
        <v>24</v>
      </c>
      <c r="C414" s="168" t="s">
        <v>301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118</v>
      </c>
      <c r="B415" s="168" t="s">
        <v>24</v>
      </c>
      <c r="C415" s="168" t="s">
        <v>302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74</v>
      </c>
      <c r="E1" t="s">
        <v>163</v>
      </c>
      <c r="F1" t="s">
        <v>189</v>
      </c>
      <c r="G1" t="s">
        <v>164</v>
      </c>
      <c r="H1" t="s">
        <v>226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117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749281.24385356263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1988078.7418513738</v>
      </c>
      <c r="F14">
        <f>E14-D14</f>
        <v>1238797.4979978111</v>
      </c>
      <c r="G14">
        <f t="shared" si="3"/>
        <v>1238797.4979978111</v>
      </c>
      <c r="H14">
        <f t="shared" si="1"/>
        <v>742755.71302616922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155420.83176957627</v>
      </c>
      <c r="F15">
        <f t="shared" si="2"/>
        <v>155420.83176957627</v>
      </c>
      <c r="G15">
        <f t="shared" si="3"/>
        <v>155420.83176957627</v>
      </c>
      <c r="H15">
        <f t="shared" si="1"/>
        <v>61631.107456390651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170748.12871018023</v>
      </c>
      <c r="F16">
        <f t="shared" si="2"/>
        <v>170748.12871018023</v>
      </c>
      <c r="G16">
        <f t="shared" si="3"/>
        <v>170748.12871018023</v>
      </c>
      <c r="H16">
        <f t="shared" si="1"/>
        <v>38930.749033080756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2205973.8787229857</v>
      </c>
      <c r="F17">
        <f t="shared" ca="1" si="2"/>
        <v>2205973.8787229857</v>
      </c>
      <c r="G17">
        <f t="shared" ca="1" si="3"/>
        <v>2205973.8787229857</v>
      </c>
      <c r="H17">
        <f t="shared" ca="1" si="1"/>
        <v>645699.16624088504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390777.6062945897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-195695.38031020784</v>
      </c>
      <c r="G19">
        <f t="shared" ca="1" si="3"/>
        <v>-365139.02825725608</v>
      </c>
      <c r="H19">
        <f t="shared" ca="1" si="1"/>
        <v>-169443.64794704824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108201.04084598372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850956.753872153</v>
      </c>
      <c r="F20">
        <f t="shared" si="2"/>
        <v>742755.71302616922</v>
      </c>
      <c r="G20">
        <f t="shared" si="3"/>
        <v>742755.71302616922</v>
      </c>
      <c r="H20">
        <f t="shared" si="1"/>
        <v>1238797.4979978111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61631.107456390651</v>
      </c>
      <c r="F21">
        <f t="shared" si="2"/>
        <v>61631.107456390651</v>
      </c>
      <c r="G21">
        <f t="shared" si="3"/>
        <v>61631.107456390651</v>
      </c>
      <c r="H21">
        <f t="shared" si="1"/>
        <v>155420.83176957627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38930.749033080756</v>
      </c>
      <c r="F22">
        <f t="shared" si="2"/>
        <v>38930.749033080756</v>
      </c>
      <c r="G22">
        <f t="shared" si="3"/>
        <v>38930.749033080756</v>
      </c>
      <c r="H22">
        <f t="shared" si="1"/>
        <v>170748.12871018023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645699.16624088504</v>
      </c>
      <c r="F23">
        <f t="shared" ca="1" si="2"/>
        <v>645699.16624088504</v>
      </c>
      <c r="G23">
        <f t="shared" ca="1" si="3"/>
        <v>645699.16624088504</v>
      </c>
      <c r="H23">
        <f t="shared" ca="1" si="1"/>
        <v>2205973.8787229857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338356.39370541024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-169443.64794704824</v>
      </c>
      <c r="G25">
        <f t="shared" ca="1" si="3"/>
        <v>-365139.02825725608</v>
      </c>
      <c r="H25">
        <f t="shared" ca="1" si="1"/>
        <v>-195695.38031020784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749281.24385356263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1988078.7418513738</v>
      </c>
      <c r="F26">
        <f t="shared" si="2"/>
        <v>1238797.4979978111</v>
      </c>
      <c r="G26">
        <f t="shared" si="3"/>
        <v>1238797.4979978111</v>
      </c>
      <c r="H26">
        <f t="shared" si="1"/>
        <v>742755.71302616922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155420.83176957627</v>
      </c>
      <c r="F27">
        <f t="shared" si="2"/>
        <v>155420.83176957627</v>
      </c>
      <c r="G27">
        <f t="shared" si="3"/>
        <v>155420.83176957627</v>
      </c>
      <c r="H27">
        <f t="shared" si="1"/>
        <v>61631.107456390651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170748.12871018023</v>
      </c>
      <c r="F28">
        <f t="shared" si="2"/>
        <v>170748.12871018023</v>
      </c>
      <c r="G28">
        <f t="shared" si="3"/>
        <v>170748.12871018023</v>
      </c>
      <c r="H28">
        <f t="shared" si="1"/>
        <v>38930.749033080756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2033648.7705097673</v>
      </c>
      <c r="F29">
        <f t="shared" ca="1" si="2"/>
        <v>2033648.7705097673</v>
      </c>
      <c r="G29">
        <f t="shared" ca="1" si="3"/>
        <v>2033648.7705097673</v>
      </c>
      <c r="H29">
        <f t="shared" ca="1" si="1"/>
        <v>595258.77808902785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389403.53007387661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-191919.39527402743</v>
      </c>
      <c r="G31">
        <f t="shared" ca="1" si="3"/>
        <v>-359357.1848904005</v>
      </c>
      <c r="H31">
        <f t="shared" ca="1" si="1"/>
        <v>-167437.78961637311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108201.04084598372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850956.753872153</v>
      </c>
      <c r="F32">
        <f t="shared" si="2"/>
        <v>742755.71302616922</v>
      </c>
      <c r="G32">
        <f t="shared" si="3"/>
        <v>742755.71302616922</v>
      </c>
      <c r="H32">
        <f t="shared" si="1"/>
        <v>1238797.4979978111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61631.107456390651</v>
      </c>
      <c r="F33">
        <f t="shared" si="2"/>
        <v>61631.107456390651</v>
      </c>
      <c r="G33">
        <f t="shared" si="3"/>
        <v>61631.107456390651</v>
      </c>
      <c r="H33">
        <f t="shared" si="1"/>
        <v>155420.83176957627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38930.749033080756</v>
      </c>
      <c r="F34">
        <f t="shared" si="2"/>
        <v>38930.749033080756</v>
      </c>
      <c r="G34">
        <f t="shared" si="3"/>
        <v>38930.749033080756</v>
      </c>
      <c r="H34">
        <f t="shared" si="1"/>
        <v>170748.12871018023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595258.77808902785</v>
      </c>
      <c r="F35">
        <f t="shared" ca="1" si="2"/>
        <v>595258.77808902785</v>
      </c>
      <c r="G35">
        <f t="shared" ca="1" si="3"/>
        <v>595258.77808902785</v>
      </c>
      <c r="H35">
        <f t="shared" ca="1" si="1"/>
        <v>2033648.7705097673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339730.46992612345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-167437.78961637311</v>
      </c>
      <c r="G37">
        <f t="shared" ca="1" si="3"/>
        <v>-359357.1848904005</v>
      </c>
      <c r="H37">
        <f t="shared" ca="1" si="1"/>
        <v>-191919.39527402743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377497.15392097726</v>
      </c>
      <c r="O3" s="168">
        <f>SUMIF($F$3:$F$494,"Roer",J3:J494)</f>
        <v>377497.15392097726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-13227.435289135865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-11970.160299869603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-2991.0685861585735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-27677.644947870518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-74073.637619160843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1033.9219905791747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540.10850254135994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-7859.5389354726358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-5518.682342453234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-66147.546097942584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-61540.980563547258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1239.910524102582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11514.192040855423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309.97763102564545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2878.5480102138554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-8688.0172775643296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-80679.611507087524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-7819.2155498078973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-72611.650356378785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12464.692228923148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4314.7011561657055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-2580.8647050676659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-78605.765017203768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583.74189749245681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291.87094874622846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-6573.6363823092834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-3681.2363740931978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-13227.435289135865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-11968.148547215824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-2311.280271122534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-21387.271096081764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-72750.894090247253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759.16890899346845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414.09213217825561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-7192.6547645831415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-1405.0024845356634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-50275.594957435431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-46928.865249927665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314.65848416809786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2926.0209923218258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1101.304694588342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10241.073473126386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-4341.0950194145362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-40368.004664018154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-2170.547509707269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-20184.002332009084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3209.6358095621513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4245.0021997434906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-23140.296707208905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-22140.407343317162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270.96026855390556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147.79651012031218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-6827.6674987697334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-1869.1125958170537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14296456.671863517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14296456.671863517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15422346.485874616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15422346.485874616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1977033.543114753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1977033.543114753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161596.3606177516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161596.3606177516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-8823018067.37887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-8823018067.37887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-677606.79746430821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-677606.79746430821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1155381.3821309446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1155381.3821309446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202662.75190714814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202662.75190714814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219670.39367941697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219670.39367941697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6718.4175887121473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6718.4175887121473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-366819645.83113039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-366819645.83113039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-24762.802373838684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-24762.802373838684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52838.863614723166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52838.863614723166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411362.79656062095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411362.79656062095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11937083.602872944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11937083.602872944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233933.41422203628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233933.41422203628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4468412.0388995279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4468412.0388995279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50904.18509066369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50904.18509066369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-3097102423.9302683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-3097102423.9302683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-12953.885233780153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-12953.885233780153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3349931.4281520285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3349931.4281520285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21847.229776483273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21847.229776483273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1180590.685998423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1180590.685998423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9747.225592584844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9747.225592584844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450949.23000177008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450949.23000177008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9013.0189606373515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9013.0189606373515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-548368328.06973159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-548368328.06973159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-2764.8823264020079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-2764.8823264020079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496007.36336866947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496007.36336866947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97392853.734934688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97392853.734934688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6198.9483564226302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6198.9483564226302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137391.31239695082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137391.31239695082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202965.20524108515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202965.20524108515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8572.0353997189959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8572.0353997189959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-337274973.11852902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-337274973.11852902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-7993.8548823547444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-7993.8548823547444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13023.423700715897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13023.423700715897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1129876.8527963352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1129876.8527963352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1996.233089743549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1996.233089743549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7516.6184540366639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7516.6184540366639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13838.53672098308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13838.53672098308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1420.0877892473998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1420.0877892473998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-55874719.201470993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-55874719.201470993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-2494.4071072085262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-2494.4071072085262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2373.2806177406728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2373.2806177406728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6000728.6487308554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6000728.6487308554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1958622.8291241296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1958622.8291241296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-136963849.32909226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-136963849.32909226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1946337.0798042775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1946337.0798042775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190413.34522670315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190413.34522670315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62150.439848632843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62150.439848632843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-2942669.3865277474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-2942669.3865277474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361986.6881069821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361986.6881069821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110859.93611876738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110859.93611876738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36184.405999325383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36184.405999325383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-1129610.1092191502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-1129610.1092191502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462594.47947164503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462594.47947164503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514065.70872799889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514065.70872799889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167789.76216454705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167789.76216454705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-11733311.468827365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-11733311.468827365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248861.6063304602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248861.6063304602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16312.180902553693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16312.180902553693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5324.2550661412697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5324.2550661412697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-252090.28974464818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-252090.28974464818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46284.166091931889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46284.166091931889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9497.0619347182073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9497.0619347182073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3099.8172728371865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3099.8172728371865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-96770.551607073663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-96770.551607073663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59148.030644565057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59148.030644565057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151288.25314661043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151288.25314661043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-1467704.1161021357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-1467704.1161021357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16685.552909583264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16685.552909583264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2218.5848349981225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2218.5848349981225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-17487.700773523011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-17487.700773523011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1434.1434151806104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1434.1434151806104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651.65140543736698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651.65140543736698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-4289.8707723500575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-4289.8707723500575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924.61829865941218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924.61829865941218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11026.048730184528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11026.048730184528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-106967.83635905928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-106967.83635905928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2133.4400616815751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2133.4400616815751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161.69282144484706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161.69282144484706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-1274.5222242793175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-1274.5222242793175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183.37174876511565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183.37174876511565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47.493047226096714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47.493047226096714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-312.65034262963087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-312.65034262963087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118.22309580109187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118.22309580109187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18286.669492795827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18286.669492795827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-15646636.665493829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-15646636.665493829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3388.1590148976011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3388.1590148976011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1332.7519139569301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1332.7519139569301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-1140343.5147740168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-1140343.5147740168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433.21514227907352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433.21514227907352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1856679.0274235527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1856679.0274235527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-6557474.8258948205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-6557474.8258948205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99397.95717709836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99397.95717709836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72157.52731348855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72157.52731348855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-169898.74999687725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-169898.74999687725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22641.407361399019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22641.407361399019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71058.232938364585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71058.232938364585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-107556.68745498067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-107556.68745498067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48940.31768706139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48940.31768706139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135316.74143163557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135316.74143163557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-477915.73683653522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-477915.73683653522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12709.173321378878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12709.173321378878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5258.9173042875573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5258.9173042875573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-12382.401526228334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-12382.401526228334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2894.9646307445764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2894.9646307445764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5178.7995615227665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5178.7995615227665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-7838.8457297248815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-7838.8457297248815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6257.5831289973066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6257.5831289973066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9409787.8886368591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9409787.8886368591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-29393734.83955488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-29393734.83955488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431176.57641327148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431176.57641327148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1141734.8185532175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1141734.8185532175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-2492703.3187545058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-2492703.3187545058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306634.99709491339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306634.99709491339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1349436.6250576086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1349436.6250576086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-2039656.3256614399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-2039656.3256614399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795498.88060186349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795498.88060186349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938456.78825367626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938456.78825367626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-2931495.4086924591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-2931495.4086924591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55130.88998390019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55130.88998390019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113867.47539237716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113867.47539237716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-248602.24037701587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-248602.24037701587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39206.815060960464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39206.815060960464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134581.98804169835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134581.98804169835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-203418.96620571095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-203418.96620571095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101713.69148481228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101713.69148481228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228295.83737196182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228295.83737196182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67776.181350591316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67776.181350591316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134475.37812254048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134475.37812254048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8988.1461515200863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8988.1461515200863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2668.3895360672113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2668.3895360672113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31031.020333635548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31031.020333635548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3514.8735487481622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3514.8735487481622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1043.4912427956933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1043.4912427956933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26635.830368004019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26635.830368004019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16638.443338506684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16638.443338506684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4939.6001525197526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4939.6001525197526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17194.225480632958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17194.225480632958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655.06564719629318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655.06564719629318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194.47506626492333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194.47506626492333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3967.6732496296468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3967.6732496296468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256.16772104161322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256.16772104161322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76.050751154065466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76.050751154065466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3405.6976050590915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3405.6976050590915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346761.79388166772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346761.79388166772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-576131.59912925877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-576131.59912925877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9703.3123842265704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9703.3123842265704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3621.7615488648548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3621.7615488648548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-3900.1794783652117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-3900.1794783652117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594.00455425100324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594.00455425100324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1470.1279736070965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1470.1279736070965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-969.27063443052123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-969.27063443052123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529.24366374103238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529.24366374103238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25272.368195039431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25272.368195039431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-41989.083454102067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-41989.083454102067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1240.6802150158394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1240.6802150158394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263.9578321272142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263.9578321272142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-284.24922682692755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-284.24922682692755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75.950321797999564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75.950321797999564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107.14448967092497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107.14448967092497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-70.641474309383582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-70.641474309383582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67.669896271028136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67.669896271028136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22799.307708789471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22799.307708789471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-375960.31557485583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-375960.31557485583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5278.7362480253596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5278.7362480253596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832.19283099213862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832.19283099213862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-11435.708317520553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-11435.708317520553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870.88590683653945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870.88590683653945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547.43130883975766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547.43130883975766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-6447.9541677238831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-6447.9541677238831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1312.6972784572874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1312.6972784572874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1661.6377847126773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1661.6377847126773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-27400.387498206695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-27400.387498206695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674.94721017724225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674.94721017724225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60.651098261657197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60.651098261657197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-833.44657995995362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-833.44657995995362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111.35279081652958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111.35279081652958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39.897375785326119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39.897375785326119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-469.93375483305215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-469.93375483305215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167.84346181975562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167.84346181975562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1415136.4303395611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1415136.4303395611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-6748143.454119416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-6748143.454119416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107987.44231752631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107987.44231752631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51653.603137711965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51653.603137711965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-180581.0800621245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-180581.0800621245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23102.379527231336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23102.379527231336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33978.66277970159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33978.66277970159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-87904.200400603324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-87904.200400603324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33357.460525933893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33357.460525933893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103136.64753378094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103136.64753378094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-491811.86916932458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-491811.86916932458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13807.437898352086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13807.437898352086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3764.5695117789446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3764.5695117789446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-13160.941098214729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-13160.941098214729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2953.9052299105738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2953.9052299105738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2476.401067519967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2476.401067519967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-6406.551579822205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-6406.551579822205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4265.1354155075805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4265.1354155075805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6504856.0144051285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6504856.0144051285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-23382991.73904337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-23382991.73904337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332286.10382513731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332286.10382513731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256100.14280202685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256100.14280202685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-623324.69415606023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-623324.69415606023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76677.061543462041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76677.061543462041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100149.64182722325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100149.64182722325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-160717.72286680882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-160717.72286680882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65816.630662797819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65816.630662797819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690328.21436586988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690328.21436586988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-2481521.3277586871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-2481521.3277586871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42486.604410541935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42486.604410541935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27178.642215577976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27178.642215577976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-66150.368606776319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-66150.368606776319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9804.0451997782384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9804.0451997782384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10628.386432976409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10628.386432976409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-17056.177476933612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-17056.177476933612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8415.4140616021014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8415.4140616021014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437619.52462483628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437619.52462483628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233734.77619974819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233734.77619974819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-17405322.002124168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-17405322.002124168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226139.32914571706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226139.32914571706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10970.76631747676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10970.76631747676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5859.5411439959262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5859.5411439959262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-301280.51440040348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-301280.51440040348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33227.489001172784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33227.489001172784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5188.3547072902402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5188.3547072902402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2771.1261909372533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2771.1261909372533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-96860.518074411957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-96860.518074411957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34492.194195301032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34492.194195301032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30775.08230427558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30775.08230427558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16437.125334125107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16437.125334125107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-1224008.9552836879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-1224008.9552836879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28914.517063691259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28914.517063691259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771.50633681338331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771.50633681338331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412.06539202371204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412.06539202371204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-21187.200537488741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-21187.200537488741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4248.5170595378513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4248.5170595378513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364.86498923355146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364.86498923355146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194.87621507458601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194.87621507458601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-6811.6028834185745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-6811.6028834185745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4410.2241807816617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4410.2241807816617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713868.47629670356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713868.47629670356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118594.54840773206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118594.54840773206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-7493968.4308534022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-7493968.4308534022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113593.29207563492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113593.29207563492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61141.787199729064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61141.787199729064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10157.449001543766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10157.449001543766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-481385.54750765592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-481385.54750765592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57023.485545682117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57023.485545682117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51844.332399373125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51844.332399373125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8612.8683259695299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8612.8683259695299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-310997.4962135285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-310997.4962135285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106132.28678324695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106132.28678324695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52027.493495891315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52027.493495891315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8643.2967707723092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8643.2967707723092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-546168.3863913751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-546168.3863913751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14524.210337271257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14524.210337271257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4456.0784535034445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4456.0784535034445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740.2856820407078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740.2856820407078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-35083.89048343568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-35083.89048343568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7291.1092116105929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7291.1092116105929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3778.4700631410528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3778.4700631410528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627.71500029664116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627.71500029664116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-22665.828158467113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-22665.828158467113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13570.234902507178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13570.234902507178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673444.82878693647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673444.82878693647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-1481578.6233312604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-1481578.6233312604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26475.734135173829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26475.734135173829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24581.270876446844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24581.270876446844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-40968.78479407807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-40968.78479407807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4367.9666208174622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4367.9666208174622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16169.99905273761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16169.99905273761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-20789.998782091214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-20789.998782091214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6583.8910131950979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6583.8910131950979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49081.375089311769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49081.375089311769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-107979.02519648591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-107979.02519648591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3385.2274582982932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3385.2274582982932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1791.5091548510034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1791.5091548510034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-2985.8485914183389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-2985.8485914183389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558.49482647875982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558.49482647875982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1178.4867219647526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1178.4867219647526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-1515.1972139546817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-1515.1972139546817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841.82627482654641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841.82627482654641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120836.39776565302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120836.39776565302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-594515.07700701291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-594515.07700701291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9738.6244854822507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9738.6244854822507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19693.41996083039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19693.41996083039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-80743.02183940461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-80743.02183940461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7173.811842991131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7173.811842991131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18619.350411662224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18619.350411662224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-65433.717160984394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-65433.717160984394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15541.43173209055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15541.43173209055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8806.6851353812599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8806.6851353812599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-43328.890866075802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-43328.890866075802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1245.1952737549332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1245.1952737549332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1435.277383642456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1435.277383642456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-5884.6372729340701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-5884.6372729340701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917.25444543181561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917.25444543181561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1356.9980530108901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1356.9980530108901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-4768.8788720097009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-4768.8788720097009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1987.1509954032069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1987.1509954032069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1646745.8486558588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1646745.8486558588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-5970797.1307319021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-5970797.1307319021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234735.24578556098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234735.24578556098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314716.31243677461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314716.31243677461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-950919.48403666483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-950919.48403666483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202768.25813771781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202768.25813771781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389351.07037299138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389351.07037299138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-1008368.0471692515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-1008368.0471692515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574803.95780712343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574803.95780712343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210555.41784967913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210555.41784967913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-763435.1626166756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-763435.1626166756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30013.603981918917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30013.603981918917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40240.104277975639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40240.104277975639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-121586.00519088602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-121586.00519088602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25926.25653417455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25926.25653417455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49783.017445904254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49783.017445904254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-128931.46546644632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-128931.46546644632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73495.304461533204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73495.304461533204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606689.01070739387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563868.14361899148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657246.42826634331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610857.1555872407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>SUMIFS(H3:H424,$F$3:$F$424,$D$425)*H423/SUM(H423:H424)</f>
        <v>-469132.82551179174</v>
      </c>
      <c r="I425" s="336">
        <f t="shared" ref="I425:J425" ca="1" si="0">SUMIFS(I3:I424,$F$3:$F$424,$D$425)*I423/SUM(I423:I424)</f>
        <v>-448761.08423247223</v>
      </c>
      <c r="J425" s="337">
        <f t="shared" ca="1" si="0"/>
        <v>-500503.90688971587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3159098.4087003632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3159098.4087003632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122984.03172253245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122984.03172253245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16160.101768340764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16160.101768340764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1637278.8284784025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1637278.8284784025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1398490.463052188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1398490.463052188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26792.881393239317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26792.881393239317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124722.75860826911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124722.75860826911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123064.00121069238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123064.00121069238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107996.19646464376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107996.19646464376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52379.030457122608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52379.030457122608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6913.8569859861082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6913.8569859861082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71063.947754692635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71063.947754692635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185939.47423661887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185939.47423661887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685.83468496617968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685.83468496617968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5291383263.012001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5251697888.5394106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132284581.57530001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132284581.57530001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69873348.431457981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69873348.431457981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277797621.30813003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1137647401.54758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1521272688.1159501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264569163.15060005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264569163.15060005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132284581.57530001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132284581.57530001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198426872.36295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330711453.93825006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1984268723.6294999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1984268723.6294999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251340704.99307001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1058276652.6024001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119056123.41777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132284581.57530001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1794311755.2334664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8539738.614972923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8539738.614972923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271226.47469080472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271226.47469080472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3864086.1457420387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3864086.1457420387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30551594.146038637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30551594.146038637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-32404.039252680152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-32404.039252680152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57311152.859294422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57311152.859294422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-119606.97268617571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-119606.97268617571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53678.438472388472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53678.438472388472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40039099.276768751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40039099.276768751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31486882.722217117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31486882.722217117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313100.7176648798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313100.7176648798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37084794.837356567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36954395.004010893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73641751.323040396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73547817.563650429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20955154.417458218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21746854.7426144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0">
        <f ca="1">SUMIFS('Forbrug af biomasse'!$E$1:$E$425,'Forbrug af biomasse'!$A$1:$A$425,"Biogas",'Forbrug af biomasse'!$B$1:$B$425,$A$1,'Forbrug af biomasse'!$D$1:$D$425,I$2)*'[1]Processer - data'!I474</f>
        <v>9618448.3268169146</v>
      </c>
      <c r="J474" s="281">
        <f ca="1">SUMIFS('Forbrug af biomasse'!$E$1:$E$425,'Forbrug af biomasse'!$A$1:$A$425,"Biogas",'Forbrug af biomasse'!$B$1:$B$425,$A$1,'Forbrug af biomasse'!$D$1:$D$425,J$2)*'[1]Processer - data'!J474</f>
        <v>9668703.7517421134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0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68244815.627301723</v>
      </c>
      <c r="J475" s="281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68244815.627301723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0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72424428.149669126</v>
      </c>
      <c r="J476" s="281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72424428.149669126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0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28683.13506158163</v>
      </c>
      <c r="J477" s="281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28683.13506158163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0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10165263.18675559</v>
      </c>
      <c r="J478" s="281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10165263.18675559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49011407.308287665</v>
      </c>
      <c r="I479" s="280">
        <f ca="1">I474*'[1]Processer - data'!I$479*Biogasanlæg!AB$3</f>
        <v>48730214.93198771</v>
      </c>
      <c r="J479" s="281">
        <f ca="1">J474*'[1]Processer - data'!J$479*Biogasanlæg!AC$3</f>
        <v>48424534.094716787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Vestdanmark'!H$3:H$504,'Resultater - Vestdanmark'!$F$3:$F$504,"Gødning",'Resultater - Vestdanmark'!$A$3:$A$504,"&lt;&gt;Gødning")-SUM(H475:H479)</f>
        <v>91199509.604784429</v>
      </c>
      <c r="I480" s="280">
        <f ca="1">-SUMIFS('Resultater - Vestdanmark'!I$3:I$504,'Resultater - Vestdanmark'!$F$3:$F$504,"Gødning",'Resultater - Vestdanmark'!$A$3:$A$504,"&lt;&gt;Gødning")-SUM(I475:I479)</f>
        <v>91198523.592449218</v>
      </c>
      <c r="J480" s="281">
        <f ca="1">-SUMIFS('Resultater - Vestdanmark'!J$3:J$504,'Resultater - Vestdanmark'!$F$3:$F$504,"Gødning",'Resultater - Vestdanmark'!$A$3:$A$504,"&lt;&gt;Gødning")-SUM(J475:J479)</f>
        <v>91504204.429720134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12.803971032709567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12.803971032709567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5.4397291119351685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5.4397291119351685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3.1417655682673158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3.1417655682673158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31.972434404582174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29.474828575360331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12.632071606880629</v>
      </c>
      <c r="I489" s="280">
        <f ca="1">SUM(I455:I473)*'[1]Processer - data'!$H$489</f>
        <v>12.647829513302437</v>
      </c>
      <c r="J489" s="281">
        <f ca="1">SUM(J455:J473)*'[1]Processer - data'!$H$489</f>
        <v>12.66819772939111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384827.87367360003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792292.68109270593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1124875.4356381577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5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6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242845.0496399629</v>
      </c>
      <c r="J493" s="297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242845.0496399629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155420.83176957627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155420.83176957627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2233462.9797265115</v>
      </c>
      <c r="O3" s="168">
        <f>SUMIF($F$3:$F$494,"Roer",J3:J494)</f>
        <v>2233462.9797265115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-3871.73394031508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-3503.7235027777592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-875.50016384143055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-8101.3798208240005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-21681.710065764448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302.63394037174908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158.09235691061519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-2300.5248550858851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-1615.3448695109478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-19361.704948676543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-18013.341056663914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362.92777505135217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3370.2593999080573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90.731943762838029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842.56484997701421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-2543.0244512492413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-23615.310401101397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-2288.7220061243174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-21253.779360991259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3648.4753773802922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1262.9337844777936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-755.43151454151212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-23008.285557178624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170.86406151325181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85.43203075662592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-1924.1349918816773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-1077.5155954537393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-3871.73394031508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-3503.1346530983683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-676.52285387746906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-6260.1571342730913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-21294.536671732938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222.2123916792942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121.20675909779688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-2105.3246501895956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-411.25098605257352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-14715.908497100118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-13736.304612115622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92.102051995092879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856.46042021097799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322.3571819828249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2997.6114707384213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-1270.6593952196158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-11815.909157298705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-635.32969760980814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-5907.9545786493554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939.47584155932623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1242.5325646429799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-6773.2761636602199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-6480.6037368353955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79.311374072545448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43.260749494115707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-1998.4911216980036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-547.09824824764348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2071515.3281364846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2071515.3281364846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2234653.5141253849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2234653.5141253849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286466.4568852472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286466.4568852472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23414.846466786057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23414.846466786057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-1278429864.5811303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-1278429864.5811303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-98183.270135691782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-98183.270135691782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167411.4291297184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167411.4291297184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29365.248092851834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29365.248092851834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31829.606320583018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31829.606320583018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973.47932675019126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973.47932675019126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-53151108.448869608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-53151108.448869608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-3588.0586261613144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-3588.0586261613144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7656.1989037906678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7656.1989037906678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29237.203439379071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29237.203439379071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848416.39712705649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848416.39712705649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16626.58577796373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16626.58577796373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317587.9611004726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317587.9611004726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3617.9645506474885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3617.9645506474885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-220123488.06973165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-220123488.06973165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-920.68456621984785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-920.68456621984785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238093.0591967548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238093.0591967548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1552.7702235167276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1552.7702235167276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83909.314001577004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83909.314001577004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692.77440741515534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692.77440741515534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32050.769998229884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32050.769998229884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640.59139805148084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640.59139805148084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-38974735.930268355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-38974735.930268355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-196.5112735979917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-196.5112735979917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35253.232211296287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35253.232211296287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8174146.2650652872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8174146.2650652872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520.27544744598629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-28307364.001470979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1093.0511440942016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1093.0511440942016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94830.147203665125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94830.147203665125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167.54310638783448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-4689544.5585290203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199.18856623972366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199.18856623972366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2028164.0934439169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2028164.0934439169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661987.68968986103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661987.68968986103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-46291905.128534481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-46291905.128534481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657835.27469325101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657835.27469325101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37939.443517119063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37939.443517119063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12383.339515378873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12383.339515378873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-586320.45378334273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-586320.45378334273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72125.057679296922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72125.057679296922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24087.030056758944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24087.030056758944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7861.9463929509784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7861.9463929509784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-245435.3989887808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-245435.3989887808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100509.95446350399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100509.95446350399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173747.16857650891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173747.16857650891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56710.641455451077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56710.641455451077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-3965698.5695066229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-3965698.5695066229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84111.814371570494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84111.814371570494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3250.16644845266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3250.16644845266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1060.8462033588271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1060.8462033588271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-50228.440121118147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-50228.440121118147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9222.0190926804335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9222.0190926804335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2063.4687722297258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2063.4687722297258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673.51104858385202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673.51104858385202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-21025.766988279254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-21025.766988279254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12851.354978298164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12851.354978298164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78503.984158410036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78503.984158410036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-761596.60967237991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-761596.60967237991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8658.1896085405642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8658.1896085405642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678.66742215948125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678.66742215948125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-5349.5059626481543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-5349.5059626481543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438.70597113697625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438.70597113697625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217.37588118090946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217.37588118090946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-1431.0019613415081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-1431.0019613415081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308.43134189541934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308.43134189541934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5721.4538263287268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5721.4538263287268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-55505.970598082269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-55505.970598082269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1107.0492343041512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1107.0492343041512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49.462003246659933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49.462003246659933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-389.87768184097615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-389.87768184097615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56.093609794913419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56.093609794913419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15.842585321841357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15.842585321841357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-104.29294430051137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-104.29294430051137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39.436498427328949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39.436498427328949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9431.8616273693133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9431.8616273693133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-8070190.8032405814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-8070190.8032405814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1747.5378451296262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1747.5378451296262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687.40410280863637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687.40410280863637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-588164.08549701935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-588164.08549701935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223.44283514650121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223.44283514650121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103749.20750938302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103749.20750938302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-366424.57118363137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-366424.57118363137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5554.2498907233194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5554.2498907233194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2376.9720287230734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2376.9720287230734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-5596.7075299446979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-5596.7075299446979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745.8403023590007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745.8403023590007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2552.5360768242867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2552.5360768242867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-3863.6244342114223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-3863.6244342114223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1758.0218553397231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1758.0218553397231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7561.3525433987979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7561.3525433987979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-26705.41230912619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-26705.41230912619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710.17480173844581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710.17480173844581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173.23624851156123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173.23624851156123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-407.89399487585735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-407.89399487585735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95.364270473499886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95.364270473499886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186.03154298664856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186.03154298664856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-281.58505634580547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-281.58505634580547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224.78333656773091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224.78333656773091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1205818.784002535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1205818.784002535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-3766664.8835226307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-3766664.8835226307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55253.191805617316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55253.191805617316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86250.561112478521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86250.561112478521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-188307.35161598495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-188307.35161598495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23164.258570718848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23164.258570718848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111164.01742561524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111164.01742561524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-168023.00094560953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-168023.00094560953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65531.681727926858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65531.681727926858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120258.69622603169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120258.69622603169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-375656.95112928079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-375656.95112928079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7064.7567732787975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7064.7567732787975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8601.9393343009415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8601.9393343009415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-18780.265240143803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-18780.265240143803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2961.8171781133196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2961.8171781133196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11086.607689488648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11086.607689488648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-16757.2667616213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-16757.2667616213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8378.9800592959473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8378.9800592959473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24340.303996488197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24340.303996488197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7226.118867452964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7226.118867452964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14337.412461061931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14337.412461061931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564.92735308075692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564.92735308075692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167.71492276456783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167.71492276456783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1950.3768502374803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1950.3768502374803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240.90579105307322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240.90579105307322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71.51980855532689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71.51980855532689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1825.5922143898531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1825.5922143898531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1773.9472324576645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1773.9472324576645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526.64722544869517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526.64722544869517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1833.2032681826254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1833.2032681826254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41.172506090385404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41.172506090385404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12.223241875819696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12.223241875819696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249.37813749540842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249.37813749540842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17.557470168954421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17.557470168954421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5.2124396832072923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5.2124396832072923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233.42298499657977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233.42298499657977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2063414.7895987527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2063414.7895987527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-3428285.593666554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-3428285.593666554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57739.804773712538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57739.804773712538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12704.852405515734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12704.852405515734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-13681.520431178546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-13681.520431178546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2083.7208877896683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2083.7208877896683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5623.6718223135013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5623.6718223135013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-3707.7452119142108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-3707.7452119142108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2024.512649477578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2024.512649477578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150383.86356838598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150383.86356838598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-249857.09881999472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-249857.09881999472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7382.6988728171564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7382.6988728171564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925.94315037312049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925.94315037312049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-997.12375441998893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-997.12375441998893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266.42770805754543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266.42770805754543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409.85918117056099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409.85918117056099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-270.22441290307404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-270.22441290307404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258.85725304888615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258.85725304888615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14188.903001265586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14188.903001265586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-233974.84336598136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-233974.84336598136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3285.164512412875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3285.164512412875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305.31321495497366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305.31321495497366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-4195.5094320471453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-4195.5094320471453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319.5088520027798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319.5088520027798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219.01119820232074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219.01119820232074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-2579.6371990850503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-2579.6371990850503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525.17165019513118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525.17165019513118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1034.1023355475302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1034.1023355475302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-17052.335332939252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-17052.335332939252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420.0461092284711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420.0461092284711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22.251551697146862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22.251551697146862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-305.77318782887323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-305.77318782887323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40.852885644150028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40.852885644150028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15.961768964935624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15.961768964935624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-188.00670158934776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-188.00670158934776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67.149242452865096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67.149242452865096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355570.7138334217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355570.7138334217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-1695555.3779756967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-1695555.3779756967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27133.194458625378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27133.194458625378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7651.0804094322048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7651.0804094322048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-26748.189478551642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-26748.189478551642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3421.9909681967047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3421.9909681967047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5488.3713050519964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5488.3713050519964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-14198.642665844442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-14198.642665844442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5388.032199704714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5388.032199704714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25914.371646253916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25914.371646253916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-123573.87856259574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-123573.87856259574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3469.2913308363172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3469.2913308363172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557.6188744225035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557.6188744225035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-1949.4364863140552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-1949.4364863140552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437.54094705907539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437.54094705907539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399.99833562891263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399.99833562891263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-1034.8121726566815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-1034.8121726566815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688.92195606405221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688.92195606405221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319696.12270403182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319696.12270403182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-1149210.9555750412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-1149210.9555750412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16330.965479647219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16330.965479647219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7420.0011805697732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7420.0011805697732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-18059.614945594069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-18059.614945594069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2221.5680200339457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2221.5680200339457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3164.1612753779509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3164.1612753779509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-5077.7694825848939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-5077.7694825848939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2079.4326391936133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2079.4326391936133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33927.769198462265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33927.769198462265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-121960.07799941499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-121960.07799941499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2088.1019759439559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2088.1019759439559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787.44804715616897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787.44804715616897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-1916.5776628903982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-1916.5776628903982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284.0530511259762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284.0530511259762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335.79679524959482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335.79679524959482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-538.8785750386669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-538.8785750386669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265.87940609842843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265.87940609842843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176000.49038939498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176000.49038939498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94002.741919427805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94002.741919427805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-7000019.5041236635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-7000019.5041236635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90948.028107510516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90948.028107510516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2601.0495451908482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2601.0495451908482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1389.2335673341581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1389.2335673341581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-71430.337888763825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-71430.337888763825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7877.8767729884667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7877.8767729884667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1341.3940532417655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1341.3940532417655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716.44527080669309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716.44527080669309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-25042.259110844647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-25042.259110844647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8917.5907945972867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8917.5907945972867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12377.029068732492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12377.029068732492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6610.6331107553669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6610.6331107553669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-492268.20159731503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-492268.20159731503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11628.752594950776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11628.752594950776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182.91577346639249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182.91577346639249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97.696229187267548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97.696229187267548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-5023.2551425429747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-5023.2551425429747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1007.2772535353839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1007.2772535353839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94.331971194317916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94.331971194317916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50.383177474741167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50.383177474741167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-1761.0676440497664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-1761.0676440497664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1140.2166627603744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1140.2166627603744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527573.06517282699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527573.06517282699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87645.401770409182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87645.401770409182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-5538297.3567955922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-5538297.3567955922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83949.303370705005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83949.303370705005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26637.717704186125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26637.717704186125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4425.3083118739623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4425.3083118739623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-209725.8341418067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-209725.8341418067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24843.492152309034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24843.492152309034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24630.613325401329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24630.613325401329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4091.8692466781044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4091.8692466781044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-147751.13729685149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-147751.13729685149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50422.161808575358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50422.161808575358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38450.08587475212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38450.08587475212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6387.6900605140245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6387.6900605140245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-403636.99935845629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-403636.99935845629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10733.885052047423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10733.885052047423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1941.3851859511396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1941.3851859511396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322.52117449943705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322.52117449943705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-15285.041760547079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-15285.041760547079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3176.5265266916285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3176.5265266916285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1795.1052849888242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1795.1052849888242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298.21978093496864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298.21978093496864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-10768.259966598531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-10768.259966598531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6447.0539623066115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6447.0539623066115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130941.87431741141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130941.87431741141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-288072.1234983051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-288072.1234983051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5147.8340962744942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5147.8340962744942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2817.5740306712296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2817.5740306712296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-4695.9567177853824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-4695.9567177853824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500.66855287967928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500.66855287967928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2021.1384055945719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2021.1384055945719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-2598.606521478735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-2598.606521478735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822.9409872949052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822.9409872949052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9543.1830100275256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9543.1830100275256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-20995.002622060558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-20995.002622060558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658.20986283137029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658.20986283137029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205.34779083593023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205.34779083593023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-342.24631805988366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-342.24631805988366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64.016239325468419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64.016239325468419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147.30271575637204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147.30271575637204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-189.38920597247835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-189.38920597247835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105.22248080172186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105.22248080172186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30361.655095178983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30361.655095178983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-149379.34306828058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-149379.34306828058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2446.9511107333119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2446.9511107333119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2917.0460626980539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2917.0460626980539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-11959.888857062022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-11959.888857062022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1062.6056638590858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1062.6056638590858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3007.472930309722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3007.472930309722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-10569.119155088454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-10569.119155088454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2510.3150324322278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2510.3150324322278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2212.7897020800474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2212.7897020800474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-10886.925334233832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-10886.925334233832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312.87087439675747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312.87087439675747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212.59741828291627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212.59741828291627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-871.64941495995663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-871.64941495995663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135.86636926755219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135.86636926755219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219.18782453103367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219.18782453103367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-770.28864049477556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-770.28864049477556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320.97268137614014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320.97268137614014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427561.52555997932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427561.52555997932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-1550259.3385060888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-1550259.3385060888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60946.720996863092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60946.720996863092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47798.21127452721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47798.21127452721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-144422.92504993716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-144422.92504993716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30795.861730813798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30795.861730813798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59133.524339925309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59133.524339925309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-153148.04811956207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-153148.04811956207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87299.577209614319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87299.577209614319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54668.664107585333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54668.664107585333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-198218.50655397147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-198218.50655397147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7792.7400372904312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7792.7400372904312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6111.5516736174613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6111.5516736174613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-18466.133894178936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-18466.133894178936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3937.6055145759983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3937.6055145759983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7560.9019670400667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7560.9019670400667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-19581.741342173591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-19581.741342173591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11162.256138355726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11162.256138355726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177580.79193940628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165046.91815088291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192379.19126769013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178800.82799678986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 ca="1">SUMIFS(H3:H424,$F$3:$F$424,$D$425)*H423/SUM(H423:H424)</f>
        <v>-137317.43481230648</v>
      </c>
      <c r="I425" s="336">
        <f t="shared" ref="I425:J425" ca="1" si="0">SUMIFS(I3:I424,$F$3:$F$424,$D$425)*I423/SUM(I423:I424)</f>
        <v>-131354.52814065255</v>
      </c>
      <c r="J425" s="337">
        <f t="shared" ca="1" si="0"/>
        <v>-146499.90124365274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224529.79129963685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224529.79129963685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8740.9682774675621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8740.9682774675621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1148.5632316592378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1148.5632316592378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116367.97152159807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116367.97152159807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202637.2336137525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202637.2336137525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3882.2112195303494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3882.2112195303494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18071.967911669875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18071.967911669875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17831.618750083384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17831.618750083384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7675.7227272754371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7675.7227272754371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3722.7877246955832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3722.7877246955832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491.39553926641787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491.39553926641787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5050.7997200548252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5050.7997200548252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15605.83144011804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15605.83144011804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57.561851959140412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57.561851959140412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644599413.9192301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16236761.055900002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139636145.08074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201335837.09316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32473522.111800004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243551415.83850002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47086607.062110007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201335837.09316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16236761.055900002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3655261.7850270756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3655261.7850270756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89957.925309195285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89957.925309195285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526860.10425796057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526860.10425796057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4426837.8539613644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4426837.8539613644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-4695.2518058248043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-4695.2518058248043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4073333.4407055769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4073333.4407055769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-8500.9471503790664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-8500.9471503790664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4505.2115276115255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4505.2115276115255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5386120.7232312644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5386120.7232312644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1515717.2777828772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1515717.2777828772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1852461.2823351198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1852461.2823351198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32110021.762643434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32240421.595989116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28507370.806959562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28601304.566349521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17628836.528427292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18453245.887876675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0">
        <f ca="1">SUMIFS('Forbrug af biomasse'!$E$1:$E$425,'Forbrug af biomasse'!$A$1:$A$425,"Biogas",'Forbrug af biomasse'!$B$1:$B$425,$A$1,'Forbrug af biomasse'!$D$1:$D$425,I$2)*'[1]Processer - data'!I474</f>
        <v>2513930.8578663631</v>
      </c>
      <c r="J474" s="281">
        <f ca="1">SUMIFS('Forbrug af biomasse'!$E$1:$E$425,'Forbrug af biomasse'!$A$1:$A$425,"Biogas",'Forbrug af biomasse'!$B$1:$B$425,$A$1,'Forbrug af biomasse'!$D$1:$D$425,J$2)*'[1]Processer - data'!J474</f>
        <v>2570559.5792043223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0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9888476.906031603</v>
      </c>
      <c r="J475" s="281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9888476.906031603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0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5147494.5169975348</v>
      </c>
      <c r="J476" s="281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5147494.5169975348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0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2407.3649384183727</v>
      </c>
      <c r="J477" s="281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2407.3649384183727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0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1367446.7132444128</v>
      </c>
      <c r="J478" s="281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1367446.7132444128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12613034.84027173</v>
      </c>
      <c r="I479" s="280">
        <f ca="1">I474*'[1]Processer - data'!I$479*Biogasanlæg!AB$3</f>
        <v>12736398.51933635</v>
      </c>
      <c r="J479" s="281">
        <f ca="1">J474*'[1]Processer - data'!J$479*Biogasanlæg!AC$3</f>
        <v>12874336.951657247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Østdanmark'!H$3:H$504,'Resultater - Østdanmark'!$F$3:$F$504,"Gødning",'Resultater - Østdanmark'!$A$3:$A$504,"&lt;&gt;Gødning")-SUM(H475:H479)</f>
        <v>59971256.963903613</v>
      </c>
      <c r="I480" s="280">
        <f ca="1">-SUMIFS('Resultater - Østdanmark'!I$3:I$504,'Resultater - Østdanmark'!$F$3:$F$504,"Gødning",'Resultater - Østdanmark'!$A$3:$A$504,"&lt;&gt;Gødning")-SUM(I475:I479)</f>
        <v>60059947.509401321</v>
      </c>
      <c r="J480" s="281">
        <f ca="1">-SUMIFS('Resultater - Østdanmark'!J$3:J$504,'Resultater - Østdanmark'!$F$3:$F$504,"Gødning",'Resultater - Østdanmark'!$A$3:$A$504,"&lt;&gt;Gødning")-SUM(J475:J479)</f>
        <v>59922009.077080421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7.6769792071241456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7.6769792071241456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2.1570887609736724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2.1570887609736724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0.71632578220868581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0.71632578220868581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9.3584853550854437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8.6274241140246506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3.9778561239632375</v>
      </c>
      <c r="I489" s="280">
        <f ca="1">SUM(I455:I473)*'[1]Processer - data'!$H$489</f>
        <v>4.0154886381587209</v>
      </c>
      <c r="J489" s="281">
        <f ca="1">SUM(J455:J473)*'[1]Processer - data'!$H$489</f>
        <v>4.0531387597473838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73213.031670240001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150732.71226225884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214006.17400262193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96298.605400610395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96298.605400610395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61631.107456390651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61631.107456390651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0">
        <f>'Resultater - Vestdanmark'!H3+'Resultater - Østdanmark'!H3</f>
        <v>6905432.901678659</v>
      </c>
      <c r="I3" s="271">
        <f>'Resultater - Vestdanmark'!I3+'Resultater - Østdanmark'!I3</f>
        <v>7187550.2724163011</v>
      </c>
      <c r="J3" s="272">
        <f>'Resultater - Vestdanmark'!J3+'Resultater - Østdanmark'!J3</f>
        <v>7494121.763909651</v>
      </c>
      <c r="L3" s="98" t="s">
        <v>109</v>
      </c>
      <c r="M3" s="98">
        <f ca="1">SUMIF($F$3:$F$509,$L$3,H$3:H$509)</f>
        <v>13910380.018766832</v>
      </c>
      <c r="N3" s="98">
        <f ca="1">SUMIF($F$3:$F$509,$L$3,I$3:I$509)</f>
        <v>13724729.180341937</v>
      </c>
      <c r="O3" s="98">
        <f ca="1">SUMIF($F$3:$F$509,$L$3,J$3:J$509)</f>
        <v>13266104.726834059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3">
        <f ca="1">'Resultater - Vestdanmark'!H4+'Resultater - Østdanmark'!H4</f>
        <v>358674.32551850227</v>
      </c>
      <c r="I4" s="274">
        <f ca="1">'Resultater - Vestdanmark'!I4+'Resultater - Østdanmark'!I4</f>
        <v>363994.97174274386</v>
      </c>
      <c r="J4" s="275">
        <f ca="1">'Resultater - Vestdanmark'!J4+'Resultater - Østdanmark'!J4</f>
        <v>369776.8151095995</v>
      </c>
      <c r="L4" s="98" t="s">
        <v>165</v>
      </c>
      <c r="M4" s="98">
        <f t="shared" ref="M4:O6" si="0">SUMIFS(H$3:H$509,$F$3:$F$509,$L$3,$A$3:$A$509,$L4)</f>
        <v>1383287.873779177</v>
      </c>
      <c r="N4" s="98">
        <f t="shared" si="0"/>
        <v>1383287.8737791767</v>
      </c>
      <c r="O4" s="98">
        <f t="shared" si="0"/>
        <v>1383287.8737791767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3">
        <f>'Resultater - Vestdanmark'!H5+'Resultater - Østdanmark'!H5</f>
        <v>982809</v>
      </c>
      <c r="I5" s="274">
        <f>'Resultater - Vestdanmark'!I5+'Resultater - Østdanmark'!I5</f>
        <v>982809</v>
      </c>
      <c r="J5" s="275">
        <f>'Resultater - Vestdanmark'!J5+'Resultater - Østdanmark'!J5</f>
        <v>982809</v>
      </c>
      <c r="L5" s="98" t="s">
        <v>166</v>
      </c>
      <c r="M5" s="98">
        <f t="shared" si="0"/>
        <v>4119285.0829287488</v>
      </c>
      <c r="N5" s="98">
        <f t="shared" si="0"/>
        <v>4119285.0829287488</v>
      </c>
      <c r="O5" s="98">
        <f t="shared" si="0"/>
        <v>4119285.0829287488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3">
        <f>'Resultater - Vestdanmark'!H6+'Resultater - Østdanmark'!H6</f>
        <v>355018</v>
      </c>
      <c r="I6" s="274">
        <f>'Resultater - Vestdanmark'!I6+'Resultater - Østdanmark'!I6</f>
        <v>355018</v>
      </c>
      <c r="J6" s="275">
        <f>'Resultater - Vestdanmark'!J6+'Resultater - Østdanmark'!J6</f>
        <v>355018</v>
      </c>
      <c r="L6" s="98" t="s">
        <v>167</v>
      </c>
      <c r="M6" s="98">
        <f t="shared" si="0"/>
        <v>16688.944028790498</v>
      </c>
      <c r="N6" s="98">
        <f t="shared" si="0"/>
        <v>16688.944028790494</v>
      </c>
      <c r="O6" s="98">
        <f t="shared" si="0"/>
        <v>16688.944028790494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3">
        <f>'Resultater - Vestdanmark'!H7+'Resultater - Østdanmark'!H7</f>
        <v>880.09999999999991</v>
      </c>
      <c r="I7" s="274">
        <f>'Resultater - Vestdanmark'!I7+'Resultater - Østdanmark'!I7</f>
        <v>880.09999999999991</v>
      </c>
      <c r="J7" s="275">
        <f>'Resultater - Vestdanmark'!J7+'Resultater - Østdanmark'!J7</f>
        <v>880.09999999999991</v>
      </c>
      <c r="L7" s="98" t="s">
        <v>41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5792.3548374528018</v>
      </c>
      <c r="O7" s="98">
        <f>SUMIFS(J$3:J$509,$F$3:$F$509,$L$3,$C$3:$C$509,$L7)+SUMIFS(J$3:J$509,$F$3:$F$509,$L$3,$C$3:$C$509,"",$A$3:$A$509,"Grøntsager I drivhus")</f>
        <v>5792.3548374528018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3">
        <f>'Resultater - Vestdanmark'!H8+'Resultater - Østdanmark'!H8</f>
        <v>-142.57619999999997</v>
      </c>
      <c r="I8" s="274">
        <f>'Resultater - Vestdanmark'!I8+'Resultater - Østdanmark'!I8</f>
        <v>-142.57619999999997</v>
      </c>
      <c r="J8" s="275">
        <f>'Resultater - Vestdanmark'!J8+'Resultater - Østdanmark'!J8</f>
        <v>-142.57619999999997</v>
      </c>
      <c r="L8" s="98" t="s">
        <v>40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1473236.2019897567</v>
      </c>
      <c r="O8" s="98">
        <f>SUMIFS(J$3:J$509,$F$3:$F$509,$L$3,$C$3:$C$509,$L8)</f>
        <v>1467443.8471523039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3">
        <f>'Resultater - Vestdanmark'!H9+'Resultater - Østdanmark'!H9</f>
        <v>76.5</v>
      </c>
      <c r="I9" s="274">
        <f>'Resultater - Vestdanmark'!I9+'Resultater - Østdanmark'!I9</f>
        <v>382.5</v>
      </c>
      <c r="J9" s="275">
        <f>'Resultater - Vestdanmark'!J9+'Resultater - Østdanmark'!J9</f>
        <v>382.5</v>
      </c>
      <c r="L9" s="98" t="s">
        <v>39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2828928.2287510526</v>
      </c>
      <c r="O9" s="98">
        <f>SUMIFS(J$3:J$509,$F$3:$F$509,$L$3,$C$3:$C$509,$L9)</f>
        <v>2823135.8739135996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3">
        <f>'Resultater - Vestdanmark'!H10+'Resultater - Østdanmark'!H10</f>
        <v>-15.861000000000001</v>
      </c>
      <c r="I10" s="274">
        <f>'Resultater - Vestdanmark'!I10+'Resultater - Østdanmark'!I10</f>
        <v>-15.861000000000001</v>
      </c>
      <c r="J10" s="275">
        <f>'Resultater - Vestdanmark'!J10+'Resultater - Østdanmark'!J10</f>
        <v>-15.861000000000001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3">
        <f>'Resultater - Vestdanmark'!H11+'Resultater - Østdanmark'!H11</f>
        <v>1724391.5316257188</v>
      </c>
      <c r="I11" s="274">
        <f>'Resultater - Vestdanmark'!I11+'Resultater - Østdanmark'!I11</f>
        <v>1631885.8233455163</v>
      </c>
      <c r="J11" s="275">
        <f>'Resultater - Vestdanmark'!J11+'Resultater - Østdanmark'!J11</f>
        <v>1476221.0184099278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3">
        <f>'Resultater - Vestdanmark'!H12+'Resultater - Østdanmark'!H12</f>
        <v>2113608.4683742807</v>
      </c>
      <c r="I12" s="274">
        <f>'Resultater - Vestdanmark'!I12+'Resultater - Østdanmark'!I12</f>
        <v>2000223.0539784776</v>
      </c>
      <c r="J12" s="275">
        <f>'Resultater - Vestdanmark'!J12+'Resultater - Østdanmark'!J12</f>
        <v>1809422.7375158332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3">
        <f>'Resultater - Vestdanmark'!H13+'Resultater - Østdanmark'!H13</f>
        <v>-562410</v>
      </c>
      <c r="I13" s="274">
        <f>'Resultater - Vestdanmark'!I13+'Resultater - Østdanmark'!I13</f>
        <v>-532239.27923287847</v>
      </c>
      <c r="J13" s="275">
        <f>'Resultater - Vestdanmark'!J13+'Resultater - Østdanmark'!J13</f>
        <v>-481469.23000787059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3">
        <f>'Resultater - Vestdanmark'!H14+'Resultater - Østdanmark'!H14</f>
        <v>-1263438.0423418714</v>
      </c>
      <c r="I14" s="274">
        <f>'Resultater - Vestdanmark'!I14+'Resultater - Østdanmark'!I14</f>
        <v>-1195660.3776807606</v>
      </c>
      <c r="J14" s="275">
        <f>'Resultater - Vestdanmark'!J14+'Resultater - Østdanmark'!J14</f>
        <v>-1081606.9084991238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3">
        <f ca="1">'Resultater - Vestdanmark'!H15+'Resultater - Østdanmark'!H15</f>
        <v>0</v>
      </c>
      <c r="I15" s="274">
        <f ca="1">'Resultater - Vestdanmark'!I15+'Resultater - Østdanmark'!I15</f>
        <v>0</v>
      </c>
      <c r="J15" s="275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3">
        <f ca="1">'Resultater - Vestdanmark'!H16+'Resultater - Østdanmark'!H16</f>
        <v>0</v>
      </c>
      <c r="I16" s="274">
        <f ca="1">'Resultater - Vestdanmark'!I16+'Resultater - Østdanmark'!I16</f>
        <v>0</v>
      </c>
      <c r="J16" s="275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3">
        <f ca="1">'Resultater - Vestdanmark'!H17+'Resultater - Østdanmark'!H17</f>
        <v>0</v>
      </c>
      <c r="I17" s="274">
        <f ca="1">'Resultater - Vestdanmark'!I17+'Resultater - Østdanmark'!I17</f>
        <v>-17099.169229450945</v>
      </c>
      <c r="J17" s="275">
        <f ca="1">'Resultater - Vestdanmark'!J17+'Resultater - Østdanmark'!J17</f>
        <v>-15473.883802647362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3">
        <f ca="1">'Resultater - Vestdanmark'!H18+'Resultater - Østdanmark'!H18</f>
        <v>0</v>
      </c>
      <c r="I18" s="274">
        <f ca="1">'Resultater - Vestdanmark'!I18+'Resultater - Østdanmark'!I18</f>
        <v>0</v>
      </c>
      <c r="J18" s="275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3">
        <f ca="1">'Resultater - Vestdanmark'!H19+'Resultater - Østdanmark'!H19</f>
        <v>0</v>
      </c>
      <c r="I19" s="274">
        <f ca="1">'Resultater - Vestdanmark'!I19+'Resultater - Østdanmark'!I19</f>
        <v>0</v>
      </c>
      <c r="J19" s="275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3">
        <f ca="1">'Resultater - Vestdanmark'!H20+'Resultater - Østdanmark'!H20</f>
        <v>0</v>
      </c>
      <c r="I20" s="274">
        <f ca="1">'Resultater - Vestdanmark'!I20+'Resultater - Østdanmark'!I20</f>
        <v>0</v>
      </c>
      <c r="J20" s="275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3">
        <f ca="1">'Resultater - Vestdanmark'!H21+'Resultater - Østdanmark'!H21</f>
        <v>0</v>
      </c>
      <c r="I21" s="274">
        <f ca="1">'Resultater - Vestdanmark'!I21+'Resultater - Østdanmark'!I21</f>
        <v>-3866.568750000004</v>
      </c>
      <c r="J21" s="275">
        <f ca="1">'Resultater - Vestdanmark'!J21+'Resultater - Østdanmark'!J21</f>
        <v>-35779.024768694522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3">
        <f ca="1">'Resultater - Vestdanmark'!H22+'Resultater - Østdanmark'!H22</f>
        <v>0</v>
      </c>
      <c r="I22" s="274">
        <f ca="1">'Resultater - Vestdanmark'!I22+'Resultater - Østdanmark'!I22</f>
        <v>0</v>
      </c>
      <c r="J22" s="275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3">
        <f ca="1">'Resultater - Vestdanmark'!H23+'Resultater - Østdanmark'!H23</f>
        <v>0</v>
      </c>
      <c r="I23" s="274">
        <f ca="1">'Resultater - Vestdanmark'!I23+'Resultater - Østdanmark'!I23</f>
        <v>0</v>
      </c>
      <c r="J23" s="275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3">
        <f ca="1">'Resultater - Vestdanmark'!H24+'Resultater - Østdanmark'!H24</f>
        <v>0</v>
      </c>
      <c r="I24" s="274">
        <f ca="1">'Resultater - Vestdanmark'!I24+'Resultater - Østdanmark'!I24</f>
        <v>0</v>
      </c>
      <c r="J24" s="275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3">
        <f ca="1">'Resultater - Vestdanmark'!H25+'Resultater - Østdanmark'!H25</f>
        <v>0</v>
      </c>
      <c r="I25" s="274">
        <f ca="1">'Resultater - Vestdanmark'!I25+'Resultater - Østdanmark'!I25</f>
        <v>0</v>
      </c>
      <c r="J25" s="275">
        <f ca="1">'Resultater - Vestdanmark'!J25+'Resultater - Østdanmark'!J25</f>
        <v>-95755.347684925291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3">
        <f ca="1">'Resultater - Vestdanmark'!H26+'Resultater - Østdanmark'!H26</f>
        <v>0</v>
      </c>
      <c r="I26" s="274">
        <f ca="1">'Resultater - Vestdanmark'!I26+'Resultater - Østdanmark'!I26</f>
        <v>0</v>
      </c>
      <c r="J26" s="275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3">
        <f ca="1">'Resultater - Vestdanmark'!H27+'Resultater - Østdanmark'!H27</f>
        <v>0</v>
      </c>
      <c r="I27" s="274">
        <f ca="1">'Resultater - Vestdanmark'!I27+'Resultater - Østdanmark'!I27</f>
        <v>0</v>
      </c>
      <c r="J27" s="275">
        <f ca="1">'Resultater - Vestdanmark'!J27+'Resultater - Østdanmark'!J27</f>
        <v>1336.5559309509238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3">
        <f ca="1">'Resultater - Vestdanmark'!H28+'Resultater - Østdanmark'!H28</f>
        <v>0</v>
      </c>
      <c r="I28" s="274">
        <f ca="1">'Resultater - Vestdanmark'!I28+'Resultater - Østdanmark'!I28</f>
        <v>0</v>
      </c>
      <c r="J28" s="275">
        <f ca="1">'Resultater - Vestdanmark'!J28+'Resultater - Østdanmark'!J28</f>
        <v>698.20085945197513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3">
        <f ca="1">'Resultater - Vestdanmark'!H29+'Resultater - Østdanmark'!H29</f>
        <v>0</v>
      </c>
      <c r="I29" s="274">
        <f ca="1">'Resultater - Vestdanmark'!I29+'Resultater - Østdanmark'!I29</f>
        <v>0</v>
      </c>
      <c r="J29" s="275">
        <f ca="1">'Resultater - Vestdanmark'!J29+'Resultater - Østdanmark'!J29</f>
        <v>-10160.063790558521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3">
        <f ca="1">'Resultater - Vestdanmark'!H30+'Resultater - Østdanmark'!H30</f>
        <v>0</v>
      </c>
      <c r="I30" s="274">
        <f ca="1">'Resultater - Vestdanmark'!I30+'Resultater - Østdanmark'!I30</f>
        <v>0</v>
      </c>
      <c r="J30" s="275">
        <f ca="1">'Resultater - Vestdanmark'!J30+'Resultater - Østdanmark'!J30</f>
        <v>-7134.0272119641813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3">
        <f ca="1">'Resultater - Vestdanmark'!H31+'Resultater - Østdanmark'!H31</f>
        <v>0</v>
      </c>
      <c r="I31" s="274">
        <f ca="1">'Resultater - Vestdanmark'!I31+'Resultater - Østdanmark'!I31</f>
        <v>0</v>
      </c>
      <c r="J31" s="275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3">
        <f ca="1">'Resultater - Vestdanmark'!H32+'Resultater - Østdanmark'!H32</f>
        <v>0</v>
      </c>
      <c r="I32" s="274">
        <f ca="1">'Resultater - Vestdanmark'!I32+'Resultater - Østdanmark'!I32</f>
        <v>0</v>
      </c>
      <c r="J32" s="275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3">
        <f ca="1">'Resultater - Vestdanmark'!H33+'Resultater - Østdanmark'!H33</f>
        <v>0</v>
      </c>
      <c r="I33" s="274">
        <f ca="1">'Resultater - Vestdanmark'!I33+'Resultater - Østdanmark'!I33</f>
        <v>-85509.251046619131</v>
      </c>
      <c r="J33" s="275">
        <f ca="1">'Resultater - Vestdanmark'!J33+'Resultater - Østdanmark'!J33</f>
        <v>-79554.32162021118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3">
        <f ca="1">'Resultater - Vestdanmark'!H34+'Resultater - Østdanmark'!H34</f>
        <v>0</v>
      </c>
      <c r="I34" s="274">
        <f ca="1">'Resultater - Vestdanmark'!I34+'Resultater - Østdanmark'!I34</f>
        <v>0</v>
      </c>
      <c r="J34" s="275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3">
        <f ca="1">'Resultater - Vestdanmark'!H35+'Resultater - Østdanmark'!H35</f>
        <v>0</v>
      </c>
      <c r="I35" s="274">
        <f ca="1">'Resultater - Vestdanmark'!I35+'Resultater - Østdanmark'!I35</f>
        <v>1602.8382991539343</v>
      </c>
      <c r="J35" s="275">
        <f ca="1">'Resultater - Vestdanmark'!J35+'Resultater - Østdanmark'!J35</f>
        <v>14884.451440763482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3">
        <f ca="1">'Resultater - Vestdanmark'!H36+'Resultater - Østdanmark'!H36</f>
        <v>0</v>
      </c>
      <c r="I36" s="274">
        <f ca="1">'Resultater - Vestdanmark'!I36+'Resultater - Østdanmark'!I36</f>
        <v>400.70957478848345</v>
      </c>
      <c r="J36" s="275">
        <f ca="1">'Resultater - Vestdanmark'!J36+'Resultater - Østdanmark'!J36</f>
        <v>3721.1128601908695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3">
        <f ca="1">'Resultater - Vestdanmark'!H37+'Resultater - Østdanmark'!H37</f>
        <v>0</v>
      </c>
      <c r="I37" s="274">
        <f ca="1">'Resultater - Vestdanmark'!I37+'Resultater - Østdanmark'!I37</f>
        <v>-11231.04172881357</v>
      </c>
      <c r="J37" s="275">
        <f ca="1">'Resultater - Vestdanmark'!J37+'Resultater - Østdanmark'!J37</f>
        <v>-104294.92190818892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3">
        <f ca="1">'Resultater - Vestdanmark'!H38+'Resultater - Østdanmark'!H38</f>
        <v>0</v>
      </c>
      <c r="I38" s="274">
        <f ca="1">'Resultater - Vestdanmark'!I38+'Resultater - Østdanmark'!I38</f>
        <v>-10107.937555932214</v>
      </c>
      <c r="J38" s="275">
        <f ca="1">'Resultater - Vestdanmark'!J38+'Resultater - Østdanmark'!J38</f>
        <v>-93865.429717370047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3">
        <f ca="1">'Resultater - Vestdanmark'!H39+'Resultater - Østdanmark'!H39</f>
        <v>0</v>
      </c>
      <c r="I39" s="274">
        <f ca="1">'Resultater - Vestdanmark'!I39+'Resultater - Østdanmark'!I39</f>
        <v>0</v>
      </c>
      <c r="J39" s="275">
        <f ca="1">'Resultater - Vestdanmark'!J39+'Resultater - Østdanmark'!J39</f>
        <v>16113.167606303439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3">
        <f ca="1">'Resultater - Vestdanmark'!H40+'Resultater - Østdanmark'!H40</f>
        <v>0</v>
      </c>
      <c r="I40" s="274">
        <f ca="1">'Resultater - Vestdanmark'!I40+'Resultater - Østdanmark'!I40</f>
        <v>0</v>
      </c>
      <c r="J40" s="275">
        <f ca="1">'Resultater - Vestdanmark'!J40+'Resultater - Østdanmark'!J40</f>
        <v>5577.6349406434992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3">
        <f ca="1">'Resultater - Vestdanmark'!H41+'Resultater - Østdanmark'!H41</f>
        <v>0</v>
      </c>
      <c r="I41" s="274">
        <f ca="1">'Resultater - Vestdanmark'!I41+'Resultater - Østdanmark'!I41</f>
        <v>0</v>
      </c>
      <c r="J41" s="275">
        <f ca="1">'Resultater - Vestdanmark'!J41+'Resultater - Østdanmark'!J41</f>
        <v>-3336.296219609178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3">
        <f ca="1">'Resultater - Vestdanmark'!H42+'Resultater - Østdanmark'!H42</f>
        <v>0</v>
      </c>
      <c r="I42" s="274">
        <f ca="1">'Resultater - Vestdanmark'!I42+'Resultater - Østdanmark'!I42</f>
        <v>0</v>
      </c>
      <c r="J42" s="275">
        <f ca="1">'Resultater - Vestdanmark'!J42+'Resultater - Østdanmark'!J42</f>
        <v>-101614.05057438239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3">
        <f ca="1">'Resultater - Vestdanmark'!H43+'Resultater - Østdanmark'!H43</f>
        <v>0</v>
      </c>
      <c r="I43" s="274">
        <f ca="1">'Resultater - Vestdanmark'!I43+'Resultater - Østdanmark'!I43</f>
        <v>0</v>
      </c>
      <c r="J43" s="275">
        <f ca="1">'Resultater - Vestdanmark'!J43+'Resultater - Østdanmark'!J43</f>
        <v>754.60595900570866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3">
        <f ca="1">'Resultater - Vestdanmark'!H44+'Resultater - Østdanmark'!H44</f>
        <v>0</v>
      </c>
      <c r="I44" s="274">
        <f ca="1">'Resultater - Vestdanmark'!I44+'Resultater - Østdanmark'!I44</f>
        <v>0</v>
      </c>
      <c r="J44" s="275">
        <f ca="1">'Resultater - Vestdanmark'!J44+'Resultater - Østdanmark'!J44</f>
        <v>377.30297950285438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3">
        <f ca="1">'Resultater - Vestdanmark'!H45+'Resultater - Østdanmark'!H45</f>
        <v>0</v>
      </c>
      <c r="I45" s="274">
        <f ca="1">'Resultater - Vestdanmark'!I45+'Resultater - Østdanmark'!I45</f>
        <v>0</v>
      </c>
      <c r="J45" s="275">
        <f ca="1">'Resultater - Vestdanmark'!J45+'Resultater - Østdanmark'!J45</f>
        <v>-8497.7713741909611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3">
        <f ca="1">'Resultater - Vestdanmark'!H46+'Resultater - Østdanmark'!H46</f>
        <v>0</v>
      </c>
      <c r="I46" s="274">
        <f ca="1">'Resultater - Vestdanmark'!I46+'Resultater - Østdanmark'!I46</f>
        <v>0</v>
      </c>
      <c r="J46" s="275">
        <f ca="1">'Resultater - Vestdanmark'!J46+'Resultater - Østdanmark'!J46</f>
        <v>-4758.7519695469373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3">
        <f ca="1">'Resultater - Vestdanmark'!H47+'Resultater - Østdanmark'!H47</f>
        <v>0</v>
      </c>
      <c r="I47" s="274">
        <f ca="1">'Resultater - Vestdanmark'!I47+'Resultater - Østdanmark'!I47</f>
        <v>0</v>
      </c>
      <c r="J47" s="275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3">
        <f ca="1">'Resultater - Vestdanmark'!H48+'Resultater - Østdanmark'!H48</f>
        <v>0</v>
      </c>
      <c r="I48" s="274">
        <f ca="1">'Resultater - Vestdanmark'!I48+'Resultater - Østdanmark'!I48</f>
        <v>0</v>
      </c>
      <c r="J48" s="275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3">
        <f ca="1">'Resultater - Vestdanmark'!H49+'Resultater - Østdanmark'!H49</f>
        <v>0</v>
      </c>
      <c r="I49" s="274">
        <f ca="1">'Resultater - Vestdanmark'!I49+'Resultater - Østdanmark'!I49</f>
        <v>-17099.169229450945</v>
      </c>
      <c r="J49" s="275">
        <f ca="1">'Resultater - Vestdanmark'!J49+'Resultater - Østdanmark'!J49</f>
        <v>-15471.283200314192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3">
        <f ca="1">'Resultater - Vestdanmark'!H50+'Resultater - Østdanmark'!H50</f>
        <v>0</v>
      </c>
      <c r="I50" s="274">
        <f ca="1">'Resultater - Vestdanmark'!I50+'Resultater - Østdanmark'!I50</f>
        <v>0</v>
      </c>
      <c r="J50" s="275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3">
        <f ca="1">'Resultater - Vestdanmark'!H51+'Resultater - Østdanmark'!H51</f>
        <v>0</v>
      </c>
      <c r="I51" s="274">
        <f ca="1">'Resultater - Vestdanmark'!I51+'Resultater - Østdanmark'!I51</f>
        <v>0</v>
      </c>
      <c r="J51" s="275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3">
        <f ca="1">'Resultater - Vestdanmark'!H52+'Resultater - Østdanmark'!H52</f>
        <v>0</v>
      </c>
      <c r="I52" s="274">
        <f ca="1">'Resultater - Vestdanmark'!I52+'Resultater - Østdanmark'!I52</f>
        <v>0</v>
      </c>
      <c r="J52" s="275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3">
        <f ca="1">'Resultater - Vestdanmark'!H53+'Resultater - Østdanmark'!H53</f>
        <v>0</v>
      </c>
      <c r="I53" s="274">
        <f ca="1">'Resultater - Vestdanmark'!I53+'Resultater - Østdanmark'!I53</f>
        <v>-2987.8031250000031</v>
      </c>
      <c r="J53" s="275">
        <f ca="1">'Resultater - Vestdanmark'!J53+'Resultater - Østdanmark'!J53</f>
        <v>-27647.428230354853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3">
        <f ca="1">'Resultater - Vestdanmark'!H54+'Resultater - Østdanmark'!H54</f>
        <v>0</v>
      </c>
      <c r="I54" s="274">
        <f ca="1">'Resultater - Vestdanmark'!I54+'Resultater - Østdanmark'!I54</f>
        <v>0</v>
      </c>
      <c r="J54" s="275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3">
        <f ca="1">'Resultater - Vestdanmark'!H55+'Resultater - Østdanmark'!H55</f>
        <v>0</v>
      </c>
      <c r="I55" s="274">
        <f ca="1">'Resultater - Vestdanmark'!I55+'Resultater - Østdanmark'!I55</f>
        <v>0</v>
      </c>
      <c r="J55" s="275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3">
        <f ca="1">'Resultater - Vestdanmark'!H56+'Resultater - Østdanmark'!H56</f>
        <v>0</v>
      </c>
      <c r="I56" s="274">
        <f ca="1">'Resultater - Vestdanmark'!I56+'Resultater - Østdanmark'!I56</f>
        <v>0</v>
      </c>
      <c r="J56" s="275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3">
        <f ca="1">'Resultater - Vestdanmark'!H57+'Resultater - Østdanmark'!H57</f>
        <v>0</v>
      </c>
      <c r="I57" s="274">
        <f ca="1">'Resultater - Vestdanmark'!I57+'Resultater - Østdanmark'!I57</f>
        <v>0</v>
      </c>
      <c r="J57" s="275">
        <f ca="1">'Resultater - Vestdanmark'!J57+'Resultater - Østdanmark'!J57</f>
        <v>-94045.430761980184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3">
        <f ca="1">'Resultater - Vestdanmark'!H58+'Resultater - Østdanmark'!H58</f>
        <v>0</v>
      </c>
      <c r="I58" s="274">
        <f ca="1">'Resultater - Vestdanmark'!I58+'Resultater - Østdanmark'!I58</f>
        <v>0</v>
      </c>
      <c r="J58" s="275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3">
        <f ca="1">'Resultater - Vestdanmark'!H59+'Resultater - Østdanmark'!H59</f>
        <v>0</v>
      </c>
      <c r="I59" s="274">
        <f ca="1">'Resultater - Vestdanmark'!I59+'Resultater - Østdanmark'!I59</f>
        <v>0</v>
      </c>
      <c r="J59" s="275">
        <f ca="1">'Resultater - Vestdanmark'!J59+'Resultater - Østdanmark'!J59</f>
        <v>981.38130067276268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3">
        <f ca="1">'Resultater - Vestdanmark'!H60+'Resultater - Østdanmark'!H60</f>
        <v>0</v>
      </c>
      <c r="I60" s="274">
        <f ca="1">'Resultater - Vestdanmark'!I60+'Resultater - Østdanmark'!I60</f>
        <v>0</v>
      </c>
      <c r="J60" s="275">
        <f ca="1">'Resultater - Vestdanmark'!J60+'Resultater - Østdanmark'!J60</f>
        <v>535.29889127605247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3">
        <f ca="1">'Resultater - Vestdanmark'!H61+'Resultater - Østdanmark'!H61</f>
        <v>0</v>
      </c>
      <c r="I61" s="274">
        <f ca="1">'Resultater - Vestdanmark'!I61+'Resultater - Østdanmark'!I61</f>
        <v>0</v>
      </c>
      <c r="J61" s="275">
        <f ca="1">'Resultater - Vestdanmark'!J61+'Resultater - Østdanmark'!J61</f>
        <v>-9297.9794147727371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3">
        <f ca="1">'Resultater - Vestdanmark'!H62+'Resultater - Østdanmark'!H62</f>
        <v>0</v>
      </c>
      <c r="I62" s="274">
        <f ca="1">'Resultater - Vestdanmark'!I62+'Resultater - Østdanmark'!I62</f>
        <v>0</v>
      </c>
      <c r="J62" s="275">
        <f ca="1">'Resultater - Vestdanmark'!J62+'Resultater - Østdanmark'!J62</f>
        <v>-1816.253470588237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3">
        <f ca="1">'Resultater - Vestdanmark'!H63+'Resultater - Østdanmark'!H63</f>
        <v>0</v>
      </c>
      <c r="I63" s="274">
        <f ca="1">'Resultater - Vestdanmark'!I63+'Resultater - Østdanmark'!I63</f>
        <v>0</v>
      </c>
      <c r="J63" s="275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3">
        <f ca="1">'Resultater - Vestdanmark'!H64+'Resultater - Østdanmark'!H64</f>
        <v>0</v>
      </c>
      <c r="I64" s="274">
        <f ca="1">'Resultater - Vestdanmark'!I64+'Resultater - Østdanmark'!I64</f>
        <v>0</v>
      </c>
      <c r="J64" s="275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3">
        <f ca="1">'Resultater - Vestdanmark'!H65+'Resultater - Østdanmark'!H65</f>
        <v>0</v>
      </c>
      <c r="I65" s="274">
        <f ca="1">'Resultater - Vestdanmark'!I65+'Resultater - Østdanmark'!I65</f>
        <v>-64991.503454535545</v>
      </c>
      <c r="J65" s="275">
        <f ca="1">'Resultater - Vestdanmark'!J65+'Resultater - Østdanmark'!J65</f>
        <v>-60665.169862043287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3">
        <f ca="1">'Resultater - Vestdanmark'!H66+'Resultater - Østdanmark'!H66</f>
        <v>0</v>
      </c>
      <c r="I66" s="274">
        <f ca="1">'Resultater - Vestdanmark'!I66+'Resultater - Østdanmark'!I66</f>
        <v>0</v>
      </c>
      <c r="J66" s="275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3">
        <f ca="1">'Resultater - Vestdanmark'!H67+'Resultater - Østdanmark'!H67</f>
        <v>0</v>
      </c>
      <c r="I67" s="274">
        <f ca="1">'Resultater - Vestdanmark'!I67+'Resultater - Østdanmark'!I67</f>
        <v>406.76053616319075</v>
      </c>
      <c r="J67" s="275">
        <f ca="1">'Resultater - Vestdanmark'!J67+'Resultater - Østdanmark'!J67</f>
        <v>3782.4814125328039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3">
        <f ca="1">'Resultater - Vestdanmark'!H68+'Resultater - Østdanmark'!H68</f>
        <v>0</v>
      </c>
      <c r="I68" s="274">
        <f ca="1">'Resultater - Vestdanmark'!I68+'Resultater - Østdanmark'!I68</f>
        <v>1423.6618765711669</v>
      </c>
      <c r="J68" s="275">
        <f ca="1">'Resultater - Vestdanmark'!J68+'Resultater - Østdanmark'!J68</f>
        <v>13238.684943864806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3">
        <f ca="1">'Resultater - Vestdanmark'!H69+'Resultater - Østdanmark'!H69</f>
        <v>0</v>
      </c>
      <c r="I69" s="274">
        <f ca="1">'Resultater - Vestdanmark'!I69+'Resultater - Østdanmark'!I69</f>
        <v>-5611.7544146341515</v>
      </c>
      <c r="J69" s="275">
        <f ca="1">'Resultater - Vestdanmark'!J69+'Resultater - Østdanmark'!J69</f>
        <v>-52183.913821316863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3">
        <f ca="1">'Resultater - Vestdanmark'!H70+'Resultater - Østdanmark'!H70</f>
        <v>0</v>
      </c>
      <c r="I70" s="274">
        <f ca="1">'Resultater - Vestdanmark'!I70+'Resultater - Østdanmark'!I70</f>
        <v>-2805.8772073170771</v>
      </c>
      <c r="J70" s="275">
        <f ca="1">'Resultater - Vestdanmark'!J70+'Resultater - Østdanmark'!J70</f>
        <v>-26091.956910658439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3">
        <f ca="1">'Resultater - Vestdanmark'!H71+'Resultater - Østdanmark'!H71</f>
        <v>0</v>
      </c>
      <c r="I71" s="274">
        <f ca="1">'Resultater - Vestdanmark'!I71+'Resultater - Østdanmark'!I71</f>
        <v>0</v>
      </c>
      <c r="J71" s="275">
        <f ca="1">'Resultater - Vestdanmark'!J71+'Resultater - Østdanmark'!J71</f>
        <v>4149.1116511214777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3">
        <f ca="1">'Resultater - Vestdanmark'!H72+'Resultater - Østdanmark'!H72</f>
        <v>0</v>
      </c>
      <c r="I72" s="274">
        <f ca="1">'Resultater - Vestdanmark'!I72+'Resultater - Østdanmark'!I72</f>
        <v>0</v>
      </c>
      <c r="J72" s="275">
        <f ca="1">'Resultater - Vestdanmark'!J72+'Resultater - Østdanmark'!J72</f>
        <v>5487.5347643864707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3">
        <f ca="1">'Resultater - Vestdanmark'!H73+'Resultater - Østdanmark'!H73</f>
        <v>0</v>
      </c>
      <c r="I73" s="274">
        <f ca="1">'Resultater - Vestdanmark'!I73+'Resultater - Østdanmark'!I73</f>
        <v>0</v>
      </c>
      <c r="J73" s="275">
        <f ca="1">'Resultater - Vestdanmark'!J73+'Resultater - Østdanmark'!J73</f>
        <v>-29913.572870869124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3">
        <f ca="1">'Resultater - Vestdanmark'!H74+'Resultater - Østdanmark'!H74</f>
        <v>0</v>
      </c>
      <c r="I74" s="274">
        <f ca="1">'Resultater - Vestdanmark'!I74+'Resultater - Østdanmark'!I74</f>
        <v>0</v>
      </c>
      <c r="J74" s="275">
        <f ca="1">'Resultater - Vestdanmark'!J74+'Resultater - Østdanmark'!J74</f>
        <v>-28621.011080152559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3">
        <f ca="1">'Resultater - Vestdanmark'!H75+'Resultater - Østdanmark'!H75</f>
        <v>0</v>
      </c>
      <c r="I75" s="274">
        <f ca="1">'Resultater - Vestdanmark'!I75+'Resultater - Østdanmark'!I75</f>
        <v>0</v>
      </c>
      <c r="J75" s="275">
        <f ca="1">'Resultater - Vestdanmark'!J75+'Resultater - Østdanmark'!J75</f>
        <v>350.27164262645101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3">
        <f ca="1">'Resultater - Vestdanmark'!H76+'Resultater - Østdanmark'!H76</f>
        <v>0</v>
      </c>
      <c r="I76" s="274">
        <f ca="1">'Resultater - Vestdanmark'!I76+'Resultater - Østdanmark'!I76</f>
        <v>0</v>
      </c>
      <c r="J76" s="275">
        <f ca="1">'Resultater - Vestdanmark'!J76+'Resultater - Østdanmark'!J76</f>
        <v>191.05725961442789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3">
        <f ca="1">'Resultater - Vestdanmark'!H77+'Resultater - Østdanmark'!H77</f>
        <v>0</v>
      </c>
      <c r="I77" s="274">
        <f ca="1">'Resultater - Vestdanmark'!I77+'Resultater - Østdanmark'!I77</f>
        <v>0</v>
      </c>
      <c r="J77" s="275">
        <f ca="1">'Resultater - Vestdanmark'!J77+'Resultater - Østdanmark'!J77</f>
        <v>-8826.1586204677369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3">
        <f ca="1">'Resultater - Vestdanmark'!H78+'Resultater - Østdanmark'!H78</f>
        <v>0</v>
      </c>
      <c r="I78" s="274">
        <f ca="1">'Resultater - Vestdanmark'!I78+'Resultater - Østdanmark'!I78</f>
        <v>0</v>
      </c>
      <c r="J78" s="275">
        <f ca="1">'Resultater - Vestdanmark'!J78+'Resultater - Østdanmark'!J78</f>
        <v>-2416.2108440646971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3">
        <f ca="1">'Resultater - Vestdanmark'!H79+'Resultater - Østdanmark'!H79</f>
        <v>0</v>
      </c>
      <c r="I79" s="274">
        <f ca="1">'Resultater - Vestdanmark'!I79+'Resultater - Østdanmark'!I79</f>
        <v>0</v>
      </c>
      <c r="J79" s="275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3">
        <f ca="1">'Resultater - Vestdanmark'!H80+'Resultater - Østdanmark'!H80</f>
        <v>0</v>
      </c>
      <c r="I80" s="274">
        <f ca="1">'Resultater - Vestdanmark'!I80+'Resultater - Østdanmark'!I80</f>
        <v>0</v>
      </c>
      <c r="J80" s="275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3">
        <f ca="1">'Resultater - Vestdanmark'!H81+'Resultater - Østdanmark'!H81</f>
        <v>0</v>
      </c>
      <c r="I81" s="274">
        <f ca="1">'Resultater - Vestdanmark'!I81+'Resultater - Østdanmark'!I81</f>
        <v>0</v>
      </c>
      <c r="J81" s="275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3">
        <f ca="1">'Resultater - Vestdanmark'!H82+'Resultater - Østdanmark'!H82</f>
        <v>0</v>
      </c>
      <c r="I82" s="274">
        <f ca="1">'Resultater - Vestdanmark'!I82+'Resultater - Østdanmark'!I82</f>
        <v>0</v>
      </c>
      <c r="J82" s="275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3">
        <f ca="1">'Resultater - Vestdanmark'!H83+'Resultater - Østdanmark'!H83</f>
        <v>0</v>
      </c>
      <c r="I83" s="274">
        <f ca="1">'Resultater - Vestdanmark'!I83+'Resultater - Østdanmark'!I83</f>
        <v>0</v>
      </c>
      <c r="J83" s="275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3">
        <f ca="1">'Resultater - Vestdanmark'!H84+'Resultater - Østdanmark'!H84</f>
        <v>0</v>
      </c>
      <c r="I84" s="274">
        <f ca="1">'Resultater - Vestdanmark'!I84+'Resultater - Østdanmark'!I84</f>
        <v>0</v>
      </c>
      <c r="J84" s="275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3">
        <f ca="1">'Resultater - Vestdanmark'!H85+'Resultater - Østdanmark'!H85</f>
        <v>0</v>
      </c>
      <c r="I85" s="274">
        <f ca="1">'Resultater - Vestdanmark'!I85+'Resultater - Østdanmark'!I85</f>
        <v>0</v>
      </c>
      <c r="J85" s="275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3">
        <f ca="1">'Resultater - Vestdanmark'!H86+'Resultater - Østdanmark'!H86</f>
        <v>0</v>
      </c>
      <c r="I86" s="274">
        <f ca="1">'Resultater - Vestdanmark'!I86+'Resultater - Østdanmark'!I86</f>
        <v>0</v>
      </c>
      <c r="J86" s="275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3">
        <f ca="1">'Resultater - Vestdanmark'!H87+'Resultater - Østdanmark'!H87</f>
        <v>0</v>
      </c>
      <c r="I87" s="274">
        <f ca="1">'Resultater - Vestdanmark'!I87+'Resultater - Østdanmark'!I87</f>
        <v>0</v>
      </c>
      <c r="J87" s="275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3">
        <f ca="1">'Resultater - Vestdanmark'!H88+'Resultater - Østdanmark'!H88</f>
        <v>0</v>
      </c>
      <c r="I88" s="274">
        <f ca="1">'Resultater - Vestdanmark'!I88+'Resultater - Østdanmark'!I88</f>
        <v>0</v>
      </c>
      <c r="J88" s="275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3">
        <f ca="1">'Resultater - Vestdanmark'!H89+'Resultater - Østdanmark'!H89</f>
        <v>0</v>
      </c>
      <c r="I89" s="274">
        <f ca="1">'Resultater - Vestdanmark'!I89+'Resultater - Østdanmark'!I89</f>
        <v>0</v>
      </c>
      <c r="J89" s="275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3">
        <f ca="1">'Resultater - Vestdanmark'!H90+'Resultater - Østdanmark'!H90</f>
        <v>0</v>
      </c>
      <c r="I90" s="274">
        <f ca="1">'Resultater - Vestdanmark'!I90+'Resultater - Østdanmark'!I90</f>
        <v>0</v>
      </c>
      <c r="J90" s="275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3">
        <f ca="1">'Resultater - Vestdanmark'!H91+'Resultater - Østdanmark'!H91</f>
        <v>0</v>
      </c>
      <c r="I91" s="274">
        <f ca="1">'Resultater - Vestdanmark'!I91+'Resultater - Østdanmark'!I91</f>
        <v>0</v>
      </c>
      <c r="J91" s="275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3">
        <f ca="1">'Resultater - Vestdanmark'!H92+'Resultater - Østdanmark'!H92</f>
        <v>0</v>
      </c>
      <c r="I92" s="274">
        <f ca="1">'Resultater - Vestdanmark'!I92+'Resultater - Østdanmark'!I92</f>
        <v>0</v>
      </c>
      <c r="J92" s="275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3">
        <f ca="1">'Resultater - Vestdanmark'!H93+'Resultater - Østdanmark'!H93</f>
        <v>0</v>
      </c>
      <c r="I93" s="274">
        <f ca="1">'Resultater - Vestdanmark'!I93+'Resultater - Østdanmark'!I93</f>
        <v>0</v>
      </c>
      <c r="J93" s="275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3">
        <f ca="1">'Resultater - Vestdanmark'!H94+'Resultater - Østdanmark'!H94</f>
        <v>0</v>
      </c>
      <c r="I94" s="274">
        <f ca="1">'Resultater - Vestdanmark'!I94+'Resultater - Østdanmark'!I94</f>
        <v>0</v>
      </c>
      <c r="J94" s="275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3">
        <f>'Resultater - Vestdanmark'!H95+'Resultater - Østdanmark'!H95</f>
        <v>16367972</v>
      </c>
      <c r="I95" s="274">
        <f>'Resultater - Vestdanmark'!I95+'Resultater - Østdanmark'!I95</f>
        <v>16367972.000000002</v>
      </c>
      <c r="J95" s="275">
        <f>'Resultater - Vestdanmark'!J95+'Resultater - Østdanmark'!J95</f>
        <v>16367972.000000002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3">
        <f>'Resultater - Vestdanmark'!H96+'Resultater - Østdanmark'!H96</f>
        <v>17657000</v>
      </c>
      <c r="I96" s="274">
        <f>'Resultater - Vestdanmark'!I96+'Resultater - Østdanmark'!I96</f>
        <v>17657000</v>
      </c>
      <c r="J96" s="275">
        <f>'Resultater - Vestdanmark'!J96+'Resultater - Østdanmark'!J96</f>
        <v>17657000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3">
        <f>'Resultater - Vestdanmark'!H97+'Resultater - Østdanmark'!H97</f>
        <v>2263500</v>
      </c>
      <c r="I97" s="274">
        <f>'Resultater - Vestdanmark'!I97+'Resultater - Østdanmark'!I97</f>
        <v>2263500</v>
      </c>
      <c r="J97" s="275">
        <f>'Resultater - Vestdanmark'!J97+'Resultater - Østdanmark'!J97</f>
        <v>2263500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3">
        <f>'Resultater - Vestdanmark'!H98+'Resultater - Østdanmark'!H98</f>
        <v>185011.20708453766</v>
      </c>
      <c r="I98" s="274">
        <f>'Resultater - Vestdanmark'!I98+'Resultater - Østdanmark'!I98</f>
        <v>185011.20708453766</v>
      </c>
      <c r="J98" s="275">
        <f>'Resultater - Vestdanmark'!J98+'Resultater - Østdanmark'!J98</f>
        <v>185011.20708453766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3">
        <f>'Resultater - Vestdanmark'!H99+'Resultater - Østdanmark'!H99</f>
        <v>-10101447931.960001</v>
      </c>
      <c r="I99" s="274">
        <f>'Resultater - Vestdanmark'!I99+'Resultater - Østdanmark'!I99</f>
        <v>-10101447931.960001</v>
      </c>
      <c r="J99" s="275">
        <f>'Resultater - Vestdanmark'!J99+'Resultater - Østdanmark'!J99</f>
        <v>-10101447931.960001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3">
        <f>'Resultater - Vestdanmark'!H100+'Resultater - Østdanmark'!H100</f>
        <v>-775790.06759999995</v>
      </c>
      <c r="I100" s="274">
        <f>'Resultater - Vestdanmark'!I100+'Resultater - Østdanmark'!I100</f>
        <v>-775790.06759999995</v>
      </c>
      <c r="J100" s="275">
        <f>'Resultater - Vestdanmark'!J100+'Resultater - Østdanmark'!J100</f>
        <v>-775790.06759999995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3">
        <f>'Resultater - Vestdanmark'!H101+'Resultater - Østdanmark'!H101</f>
        <v>1322792.8112606632</v>
      </c>
      <c r="I101" s="274">
        <f>'Resultater - Vestdanmark'!I101+'Resultater - Østdanmark'!I101</f>
        <v>1322792.811260663</v>
      </c>
      <c r="J101" s="275">
        <f>'Resultater - Vestdanmark'!J101+'Resultater - Østdanmark'!J101</f>
        <v>1322792.811260663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3">
        <f>'Resultater - Vestdanmark'!H102+'Resultater - Østdanmark'!H102</f>
        <v>232028</v>
      </c>
      <c r="I102" s="274">
        <f>'Resultater - Vestdanmark'!I102+'Resultater - Østdanmark'!I102</f>
        <v>232027.99999999997</v>
      </c>
      <c r="J102" s="275">
        <f>'Resultater - Vestdanmark'!J102+'Resultater - Østdanmark'!J102</f>
        <v>232027.99999999997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3">
        <f>'Resultater - Vestdanmark'!H103+'Resultater - Østdanmark'!H103</f>
        <v>0</v>
      </c>
      <c r="I103" s="274">
        <f>'Resultater - Vestdanmark'!I103+'Resultater - Østdanmark'!I103</f>
        <v>0</v>
      </c>
      <c r="J103" s="275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3">
        <f>'Resultater - Vestdanmark'!H104+'Resultater - Østdanmark'!H104</f>
        <v>251500.00000000003</v>
      </c>
      <c r="I104" s="274">
        <f>'Resultater - Vestdanmark'!I104+'Resultater - Østdanmark'!I104</f>
        <v>251500</v>
      </c>
      <c r="J104" s="275">
        <f>'Resultater - Vestdanmark'!J104+'Resultater - Østdanmark'!J104</f>
        <v>251500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3">
        <f>'Resultater - Vestdanmark'!H105+'Resultater - Østdanmark'!H105</f>
        <v>7691.8969154623392</v>
      </c>
      <c r="I105" s="274">
        <f>'Resultater - Vestdanmark'!I105+'Resultater - Østdanmark'!I105</f>
        <v>7691.8969154623383</v>
      </c>
      <c r="J105" s="275">
        <f>'Resultater - Vestdanmark'!J105+'Resultater - Østdanmark'!J105</f>
        <v>7691.8969154623383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3">
        <f>'Resultater - Vestdanmark'!H106+'Resultater - Østdanmark'!H106</f>
        <v>-419970754.27999997</v>
      </c>
      <c r="I106" s="274">
        <f>'Resultater - Vestdanmark'!I106+'Resultater - Østdanmark'!I106</f>
        <v>-419970754.27999997</v>
      </c>
      <c r="J106" s="275">
        <f>'Resultater - Vestdanmark'!J106+'Resultater - Østdanmark'!J106</f>
        <v>-419970754.27999997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3">
        <f>'Resultater - Vestdanmark'!H107+'Resultater - Østdanmark'!H107</f>
        <v>-28350.861000000001</v>
      </c>
      <c r="I107" s="274">
        <f>'Resultater - Vestdanmark'!I107+'Resultater - Østdanmark'!I107</f>
        <v>-28350.860999999997</v>
      </c>
      <c r="J107" s="275">
        <f>'Resultater - Vestdanmark'!J107+'Resultater - Østdanmark'!J107</f>
        <v>-28350.860999999997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3">
        <f>'Resultater - Vestdanmark'!H108+'Resultater - Østdanmark'!H108</f>
        <v>60495.062518513841</v>
      </c>
      <c r="I108" s="274">
        <f>'Resultater - Vestdanmark'!I108+'Resultater - Østdanmark'!I108</f>
        <v>60495.062518513834</v>
      </c>
      <c r="J108" s="275">
        <f>'Resultater - Vestdanmark'!J108+'Resultater - Østdanmark'!J108</f>
        <v>60495.062518513834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3">
        <f>'Resultater - Vestdanmark'!H109+'Resultater - Østdanmark'!H109</f>
        <v>440600</v>
      </c>
      <c r="I109" s="274">
        <f>'Resultater - Vestdanmark'!I109+'Resultater - Østdanmark'!I109</f>
        <v>440600</v>
      </c>
      <c r="J109" s="275">
        <f>'Resultater - Vestdanmark'!J109+'Resultater - Østdanmark'!J109</f>
        <v>440600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3">
        <f>'Resultater - Vestdanmark'!H110+'Resultater - Østdanmark'!H110</f>
        <v>12785500</v>
      </c>
      <c r="I110" s="274">
        <f>'Resultater - Vestdanmark'!I110+'Resultater - Østdanmark'!I110</f>
        <v>12785500</v>
      </c>
      <c r="J110" s="275">
        <f>'Resultater - Vestdanmark'!J110+'Resultater - Østdanmark'!J110</f>
        <v>12785500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3">
        <f>'Resultater - Vestdanmark'!H111+'Resultater - Østdanmark'!H111</f>
        <v>250560.00000000003</v>
      </c>
      <c r="I111" s="274">
        <f>'Resultater - Vestdanmark'!I111+'Resultater - Østdanmark'!I111</f>
        <v>250560</v>
      </c>
      <c r="J111" s="275">
        <f>'Resultater - Vestdanmark'!J111+'Resultater - Østdanmark'!J111</f>
        <v>250560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3">
        <f>'Resultater - Vestdanmark'!H112+'Resultater - Østdanmark'!H112</f>
        <v>4786000</v>
      </c>
      <c r="I112" s="274">
        <f>'Resultater - Vestdanmark'!I112+'Resultater - Østdanmark'!I112</f>
        <v>4786000</v>
      </c>
      <c r="J112" s="275">
        <f>'Resultater - Vestdanmark'!J112+'Resultater - Østdanmark'!J112</f>
        <v>4786000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3">
        <f>'Resultater - Vestdanmark'!H113+'Resultater - Østdanmark'!H113</f>
        <v>54522.149641311174</v>
      </c>
      <c r="I113" s="274">
        <f>'Resultater - Vestdanmark'!I113+'Resultater - Østdanmark'!I113</f>
        <v>54522.149641311182</v>
      </c>
      <c r="J113" s="275">
        <f>'Resultater - Vestdanmark'!J113+'Resultater - Østdanmark'!J113</f>
        <v>54522.149641311182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3">
        <f>'Resultater - Vestdanmark'!H114+'Resultater - Østdanmark'!H114</f>
        <v>-3317225912</v>
      </c>
      <c r="I114" s="274">
        <f>'Resultater - Vestdanmark'!I114+'Resultater - Østdanmark'!I114</f>
        <v>-3317225912</v>
      </c>
      <c r="J114" s="275">
        <f>'Resultater - Vestdanmark'!J114+'Resultater - Østdanmark'!J114</f>
        <v>-3317225912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3">
        <f>'Resultater - Vestdanmark'!H115+'Resultater - Østdanmark'!H115</f>
        <v>-13874.569799999999</v>
      </c>
      <c r="I115" s="274">
        <f>'Resultater - Vestdanmark'!I115+'Resultater - Østdanmark'!I115</f>
        <v>-13874.569800000001</v>
      </c>
      <c r="J115" s="275">
        <f>'Resultater - Vestdanmark'!J115+'Resultater - Østdanmark'!J115</f>
        <v>-13874.569800000001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3">
        <f>'Resultater - Vestdanmark'!H116+'Resultater - Østdanmark'!H116</f>
        <v>3588024.4873487833</v>
      </c>
      <c r="I116" s="274">
        <f>'Resultater - Vestdanmark'!I116+'Resultater - Østdanmark'!I116</f>
        <v>3588024.4873487833</v>
      </c>
      <c r="J116" s="275">
        <f>'Resultater - Vestdanmark'!J116+'Resultater - Østdanmark'!J116</f>
        <v>3588024.4873487833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3">
        <f>'Resultater - Vestdanmark'!H117+'Resultater - Østdanmark'!H117</f>
        <v>23400.000000000004</v>
      </c>
      <c r="I117" s="274">
        <f>'Resultater - Vestdanmark'!I117+'Resultater - Østdanmark'!I117</f>
        <v>23400</v>
      </c>
      <c r="J117" s="275">
        <f>'Resultater - Vestdanmark'!J117+'Resultater - Østdanmark'!J117</f>
        <v>23400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3">
        <f>'Resultater - Vestdanmark'!H118+'Resultater - Østdanmark'!H118</f>
        <v>1264500</v>
      </c>
      <c r="I118" s="274">
        <f>'Resultater - Vestdanmark'!I118+'Resultater - Østdanmark'!I118</f>
        <v>1264500</v>
      </c>
      <c r="J118" s="275">
        <f>'Resultater - Vestdanmark'!J118+'Resultater - Østdanmark'!J118</f>
        <v>1264500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3">
        <f>'Resultater - Vestdanmark'!H119+'Resultater - Østdanmark'!H119</f>
        <v>10440.000000000002</v>
      </c>
      <c r="I119" s="274">
        <f>'Resultater - Vestdanmark'!I119+'Resultater - Østdanmark'!I119</f>
        <v>10440</v>
      </c>
      <c r="J119" s="275">
        <f>'Resultater - Vestdanmark'!J119+'Resultater - Østdanmark'!J119</f>
        <v>10440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3">
        <f>'Resultater - Vestdanmark'!H120+'Resultater - Østdanmark'!H120</f>
        <v>482999.99999999994</v>
      </c>
      <c r="I120" s="274">
        <f>'Resultater - Vestdanmark'!I120+'Resultater - Østdanmark'!I120</f>
        <v>482999.99999999994</v>
      </c>
      <c r="J120" s="275">
        <f>'Resultater - Vestdanmark'!J120+'Resultater - Østdanmark'!J120</f>
        <v>482999.99999999994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3">
        <f>'Resultater - Vestdanmark'!H121+'Resultater - Østdanmark'!H121</f>
        <v>9653.6103586888312</v>
      </c>
      <c r="I121" s="274">
        <f>'Resultater - Vestdanmark'!I121+'Resultater - Østdanmark'!I121</f>
        <v>9653.610358688833</v>
      </c>
      <c r="J121" s="275">
        <f>'Resultater - Vestdanmark'!J121+'Resultater - Østdanmark'!J121</f>
        <v>9653.610358688833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3">
        <f>'Resultater - Vestdanmark'!H122+'Resultater - Østdanmark'!H122</f>
        <v>-587343064</v>
      </c>
      <c r="I122" s="274">
        <f>'Resultater - Vestdanmark'!I122+'Resultater - Østdanmark'!I122</f>
        <v>-587343064</v>
      </c>
      <c r="J122" s="275">
        <f>'Resultater - Vestdanmark'!J122+'Resultater - Østdanmark'!J122</f>
        <v>-587343064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3">
        <f>'Resultater - Vestdanmark'!H123+'Resultater - Østdanmark'!H123</f>
        <v>-2961.3935999999999</v>
      </c>
      <c r="I123" s="274">
        <f>'Resultater - Vestdanmark'!I123+'Resultater - Østdanmark'!I123</f>
        <v>-2961.3935999999994</v>
      </c>
      <c r="J123" s="275">
        <f>'Resultater - Vestdanmark'!J123+'Resultater - Østdanmark'!J123</f>
        <v>-2961.3935999999994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3">
        <f>'Resultater - Vestdanmark'!H124+'Resultater - Østdanmark'!H124</f>
        <v>531260.59557996574</v>
      </c>
      <c r="I124" s="274">
        <f>'Resultater - Vestdanmark'!I124+'Resultater - Østdanmark'!I124</f>
        <v>531260.59557996574</v>
      </c>
      <c r="J124" s="275">
        <f>'Resultater - Vestdanmark'!J124+'Resultater - Østdanmark'!J124</f>
        <v>531260.59557996574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3">
        <f>'Resultater - Vestdanmark'!H125+'Resultater - Østdanmark'!H125</f>
        <v>105566999.99999999</v>
      </c>
      <c r="I125" s="274">
        <f>'Resultater - Vestdanmark'!I125+'Resultater - Østdanmark'!I125</f>
        <v>105566999.99999997</v>
      </c>
      <c r="J125" s="275">
        <f>'Resultater - Vestdanmark'!J125+'Resultater - Østdanmark'!J125</f>
        <v>105566999.99999997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3">
        <f>'Resultater - Vestdanmark'!H126+'Resultater - Østdanmark'!H126</f>
        <v>6719.2238038686164</v>
      </c>
      <c r="I126" s="274">
        <f>'Resultater - Vestdanmark'!I126+'Resultater - Østdanmark'!I126</f>
        <v>6719.2238038686164</v>
      </c>
      <c r="J126" s="275">
        <f>'Resultater - Vestdanmark'!J126+'Resultater - Østdanmark'!J126</f>
        <v>6719.2238038686164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3">
        <f>'Resultater - Vestdanmark'!H127+'Resultater - Østdanmark'!H127</f>
        <v>148922.51453359297</v>
      </c>
      <c r="I127" s="274">
        <f>'Resultater - Vestdanmark'!I127+'Resultater - Østdanmark'!I127</f>
        <v>148922.51453359294</v>
      </c>
      <c r="J127" s="275">
        <f>'Resultater - Vestdanmark'!J127+'Resultater - Østdanmark'!J127</f>
        <v>148922.51453359294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3">
        <f>'Resultater - Vestdanmark'!H128+'Resultater - Østdanmark'!H128</f>
        <v>220000</v>
      </c>
      <c r="I128" s="274">
        <f>'Resultater - Vestdanmark'!I128+'Resultater - Østdanmark'!I128</f>
        <v>220000</v>
      </c>
      <c r="J128" s="275">
        <f>'Resultater - Vestdanmark'!J128+'Resultater - Østdanmark'!J128</f>
        <v>220000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3">
        <f>'Resultater - Vestdanmark'!H129+'Resultater - Østdanmark'!H129</f>
        <v>9291.4831667730468</v>
      </c>
      <c r="I129" s="274">
        <f>'Resultater - Vestdanmark'!I129+'Resultater - Østdanmark'!I129</f>
        <v>9291.4831667730468</v>
      </c>
      <c r="J129" s="275">
        <f>'Resultater - Vestdanmark'!J129+'Resultater - Østdanmark'!J129</f>
        <v>9291.4831667730468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3">
        <f>'Resultater - Vestdanmark'!H130+'Resultater - Østdanmark'!H130</f>
        <v>-365582337.12</v>
      </c>
      <c r="I130" s="274">
        <f>'Resultater - Vestdanmark'!I130+'Resultater - Østdanmark'!I130</f>
        <v>-365582337.12</v>
      </c>
      <c r="J130" s="275">
        <f>'Resultater - Vestdanmark'!J130+'Resultater - Østdanmark'!J130</f>
        <v>-365582337.12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3">
        <f>'Resultater - Vestdanmark'!H131+'Resultater - Østdanmark'!H131</f>
        <v>-8664.776171999998</v>
      </c>
      <c r="I131" s="274">
        <f>'Resultater - Vestdanmark'!I131+'Resultater - Østdanmark'!I131</f>
        <v>-8664.776171999998</v>
      </c>
      <c r="J131" s="275">
        <f>'Resultater - Vestdanmark'!J131+'Resultater - Østdanmark'!J131</f>
        <v>-8664.776171999998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3">
        <f>'Resultater - Vestdanmark'!H132+'Resultater - Østdanmark'!H132</f>
        <v>14116.474844810102</v>
      </c>
      <c r="I132" s="274">
        <f>'Resultater - Vestdanmark'!I132+'Resultater - Østdanmark'!I132</f>
        <v>14116.474844810098</v>
      </c>
      <c r="J132" s="275">
        <f>'Resultater - Vestdanmark'!J132+'Resultater - Østdanmark'!J132</f>
        <v>14116.474844810098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3">
        <f>'Resultater - Vestdanmark'!H133+'Resultater - Østdanmark'!H133</f>
        <v>1224707</v>
      </c>
      <c r="I133" s="274">
        <f>'Resultater - Vestdanmark'!I133+'Resultater - Østdanmark'!I133</f>
        <v>1224707.0000000005</v>
      </c>
      <c r="J133" s="275">
        <f>'Resultater - Vestdanmark'!J133+'Resultater - Østdanmark'!J133</f>
        <v>1224707.0000000005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3">
        <f>'Resultater - Vestdanmark'!H134+'Resultater - Østdanmark'!H134</f>
        <v>2163.7761961313831</v>
      </c>
      <c r="I134" s="274">
        <f>'Resultater - Vestdanmark'!I134+'Resultater - Østdanmark'!I134</f>
        <v>2163.7761961313836</v>
      </c>
      <c r="J134" s="275">
        <f>'Resultater - Vestdanmark'!J134+'Resultater - Østdanmark'!J134</f>
        <v>2163.7761961313836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3">
        <f>'Resultater - Vestdanmark'!H135+'Resultater - Østdanmark'!H135</f>
        <v>8147.4854664070526</v>
      </c>
      <c r="I135" s="274">
        <f>'Resultater - Vestdanmark'!I135+'Resultater - Østdanmark'!I135</f>
        <v>8147.4854664070535</v>
      </c>
      <c r="J135" s="275">
        <f>'Resultater - Vestdanmark'!J135+'Resultater - Østdanmark'!J135</f>
        <v>8147.4854664070535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3">
        <f>'Resultater - Vestdanmark'!H136+'Resultater - Østdanmark'!H136</f>
        <v>15000</v>
      </c>
      <c r="I136" s="274">
        <f>'Resultater - Vestdanmark'!I136+'Resultater - Østdanmark'!I136</f>
        <v>15000.000000000002</v>
      </c>
      <c r="J136" s="275">
        <f>'Resultater - Vestdanmark'!J136+'Resultater - Østdanmark'!J136</f>
        <v>15000.000000000002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3">
        <f>'Resultater - Vestdanmark'!H137+'Resultater - Østdanmark'!H137</f>
        <v>1539.2752332269538</v>
      </c>
      <c r="I137" s="274">
        <f>'Resultater - Vestdanmark'!I137+'Resultater - Østdanmark'!I137</f>
        <v>1539.275233226954</v>
      </c>
      <c r="J137" s="275">
        <f>'Resultater - Vestdanmark'!J137+'Resultater - Østdanmark'!J137</f>
        <v>1539.275233226954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3">
        <f>'Resultater - Vestdanmark'!H138+'Resultater - Østdanmark'!H138</f>
        <v>-60564263.759999998</v>
      </c>
      <c r="I138" s="274">
        <f>'Resultater - Vestdanmark'!I138+'Resultater - Østdanmark'!I138</f>
        <v>-60564263.760000013</v>
      </c>
      <c r="J138" s="275">
        <f>'Resultater - Vestdanmark'!J138+'Resultater - Østdanmark'!J138</f>
        <v>-60564263.760000013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3">
        <f>'Resultater - Vestdanmark'!H139+'Resultater - Østdanmark'!H139</f>
        <v>-2703.7617749999999</v>
      </c>
      <c r="I139" s="274">
        <f>'Resultater - Vestdanmark'!I139+'Resultater - Østdanmark'!I139</f>
        <v>-2703.7617750000004</v>
      </c>
      <c r="J139" s="275">
        <f>'Resultater - Vestdanmark'!J139+'Resultater - Østdanmark'!J139</f>
        <v>-2703.7617750000004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3">
        <f>'Resultater - Vestdanmark'!H140+'Resultater - Østdanmark'!H140</f>
        <v>2572.4691839803959</v>
      </c>
      <c r="I140" s="274">
        <f>'Resultater - Vestdanmark'!I140+'Resultater - Østdanmark'!I140</f>
        <v>2572.4691839803963</v>
      </c>
      <c r="J140" s="275">
        <f>'Resultater - Vestdanmark'!J140+'Resultater - Østdanmark'!J140</f>
        <v>2572.4691839803963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3">
        <f>'Resultater - Vestdanmark'!H141+'Resultater - Østdanmark'!H141</f>
        <v>8028892.7421747725</v>
      </c>
      <c r="I141" s="274">
        <f>'Resultater - Vestdanmark'!I141+'Resultater - Østdanmark'!I141</f>
        <v>8028892.7421747725</v>
      </c>
      <c r="J141" s="275">
        <f>'Resultater - Vestdanmark'!J141+'Resultater - Østdanmark'!J141</f>
        <v>8028892.7421747725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3">
        <f>'Resultater - Vestdanmark'!H142+'Resultater - Østdanmark'!H142</f>
        <v>2620610.5188139905</v>
      </c>
      <c r="I142" s="274">
        <f>'Resultater - Vestdanmark'!I142+'Resultater - Østdanmark'!I142</f>
        <v>2620610.5188139905</v>
      </c>
      <c r="J142" s="275">
        <f>'Resultater - Vestdanmark'!J142+'Resultater - Østdanmark'!J142</f>
        <v>2620610.5188139905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3">
        <f>'Resultater - Vestdanmark'!H143+'Resultater - Østdanmark'!H143</f>
        <v>-183255754.45762676</v>
      </c>
      <c r="I143" s="274">
        <f>'Resultater - Vestdanmark'!I143+'Resultater - Østdanmark'!I143</f>
        <v>-183255754.45762676</v>
      </c>
      <c r="J143" s="275">
        <f>'Resultater - Vestdanmark'!J143+'Resultater - Østdanmark'!J143</f>
        <v>-183255754.45762676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3">
        <f>'Resultater - Vestdanmark'!H144+'Resultater - Østdanmark'!H144</f>
        <v>2604172.3544975286</v>
      </c>
      <c r="I144" s="274">
        <f>'Resultater - Vestdanmark'!I144+'Resultater - Østdanmark'!I144</f>
        <v>2604172.3544975286</v>
      </c>
      <c r="J144" s="275">
        <f>'Resultater - Vestdanmark'!J144+'Resultater - Østdanmark'!J144</f>
        <v>2604172.3544975286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3">
        <f>'Resultater - Vestdanmark'!H145+'Resultater - Østdanmark'!H145</f>
        <v>228280.18071014562</v>
      </c>
      <c r="I145" s="274">
        <f>'Resultater - Vestdanmark'!I145+'Resultater - Østdanmark'!I145</f>
        <v>228352.78874382222</v>
      </c>
      <c r="J145" s="275">
        <f>'Resultater - Vestdanmark'!J145+'Resultater - Østdanmark'!J145</f>
        <v>228352.78874382222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3">
        <f>'Resultater - Vestdanmark'!H146+'Resultater - Østdanmark'!H146</f>
        <v>74510.080283339761</v>
      </c>
      <c r="I146" s="274">
        <f>'Resultater - Vestdanmark'!I146+'Resultater - Østdanmark'!I146</f>
        <v>74533.779364011716</v>
      </c>
      <c r="J146" s="275">
        <f>'Resultater - Vestdanmark'!J146+'Resultater - Østdanmark'!J146</f>
        <v>74533.779364011716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3">
        <f>'Resultater - Vestdanmark'!H147+'Resultater - Østdanmark'!H147</f>
        <v>-3527867.7475414807</v>
      </c>
      <c r="I147" s="274">
        <f>'Resultater - Vestdanmark'!I147+'Resultater - Østdanmark'!I147</f>
        <v>-3528989.84031109</v>
      </c>
      <c r="J147" s="275">
        <f>'Resultater - Vestdanmark'!J147+'Resultater - Østdanmark'!J147</f>
        <v>-3528989.84031109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3">
        <f>'Resultater - Vestdanmark'!H148+'Resultater - Østdanmark'!H148</f>
        <v>433973.71375071316</v>
      </c>
      <c r="I148" s="274">
        <f>'Resultater - Vestdanmark'!I148+'Resultater - Østdanmark'!I148</f>
        <v>434111.74578627903</v>
      </c>
      <c r="J148" s="275">
        <f>'Resultater - Vestdanmark'!J148+'Resultater - Østdanmark'!J148</f>
        <v>434111.74578627903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3">
        <f>'Resultater - Vestdanmark'!H149+'Resultater - Østdanmark'!H149</f>
        <v>135901.60941201358</v>
      </c>
      <c r="I149" s="274">
        <f>'Resultater - Vestdanmark'!I149+'Resultater - Østdanmark'!I149</f>
        <v>134946.96617552632</v>
      </c>
      <c r="J149" s="275">
        <f>'Resultater - Vestdanmark'!J149+'Resultater - Østdanmark'!J149</f>
        <v>134946.96617552632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3">
        <f>'Resultater - Vestdanmark'!H150+'Resultater - Østdanmark'!H150</f>
        <v>44357.945558057712</v>
      </c>
      <c r="I150" s="274">
        <f>'Resultater - Vestdanmark'!I150+'Resultater - Østdanmark'!I150</f>
        <v>44046.352392276363</v>
      </c>
      <c r="J150" s="275">
        <f>'Resultater - Vestdanmark'!J150+'Resultater - Østdanmark'!J150</f>
        <v>44046.352392276363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3">
        <f>'Resultater - Vestdanmark'!H151+'Resultater - Østdanmark'!H151</f>
        <v>-1384772.8694927006</v>
      </c>
      <c r="I151" s="274">
        <f>'Resultater - Vestdanmark'!I151+'Resultater - Østdanmark'!I151</f>
        <v>-1375045.508207931</v>
      </c>
      <c r="J151" s="275">
        <f>'Resultater - Vestdanmark'!J151+'Resultater - Østdanmark'!J151</f>
        <v>-1375045.508207931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3">
        <f>'Resultater - Vestdanmark'!H152+'Resultater - Østdanmark'!H152</f>
        <v>567087.95319850883</v>
      </c>
      <c r="I152" s="274">
        <f>'Resultater - Vestdanmark'!I152+'Resultater - Østdanmark'!I152</f>
        <v>563104.43393514899</v>
      </c>
      <c r="J152" s="275">
        <f>'Resultater - Vestdanmark'!J152+'Resultater - Østdanmark'!J152</f>
        <v>563104.43393514899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3">
        <f>'Resultater - Vestdanmark'!H153+'Resultater - Østdanmark'!H153</f>
        <v>687812.87730450777</v>
      </c>
      <c r="I153" s="274">
        <f>'Resultater - Vestdanmark'!I153+'Resultater - Østdanmark'!I153</f>
        <v>687812.87730450777</v>
      </c>
      <c r="J153" s="275">
        <f>'Resultater - Vestdanmark'!J153+'Resultater - Østdanmark'!J153</f>
        <v>687812.87730450777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3">
        <f>'Resultater - Vestdanmark'!H154+'Resultater - Østdanmark'!H154</f>
        <v>224500.40361999813</v>
      </c>
      <c r="I154" s="274">
        <f>'Resultater - Vestdanmark'!I154+'Resultater - Østdanmark'!I154</f>
        <v>224500.40361999813</v>
      </c>
      <c r="J154" s="275">
        <f>'Resultater - Vestdanmark'!J154+'Resultater - Østdanmark'!J154</f>
        <v>224500.40361999813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3">
        <f>'Resultater - Vestdanmark'!H155+'Resultater - Østdanmark'!H155</f>
        <v>-15699010.038333988</v>
      </c>
      <c r="I155" s="274">
        <f>'Resultater - Vestdanmark'!I155+'Resultater - Østdanmark'!I155</f>
        <v>-15699010.038333988</v>
      </c>
      <c r="J155" s="275">
        <f>'Resultater - Vestdanmark'!J155+'Resultater - Østdanmark'!J155</f>
        <v>-15699010.038333988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3">
        <f>'Resultater - Vestdanmark'!H156+'Resultater - Østdanmark'!H156</f>
        <v>332973.42070203071</v>
      </c>
      <c r="I156" s="274">
        <f>'Resultater - Vestdanmark'!I156+'Resultater - Østdanmark'!I156</f>
        <v>332973.42070203071</v>
      </c>
      <c r="J156" s="275">
        <f>'Resultater - Vestdanmark'!J156+'Resultater - Østdanmark'!J156</f>
        <v>332973.42070203071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3">
        <f>'Resultater - Vestdanmark'!H157+'Resultater - Østdanmark'!H157</f>
        <v>19556.127223005868</v>
      </c>
      <c r="I157" s="274">
        <f>'Resultater - Vestdanmark'!I157+'Resultater - Østdanmark'!I157</f>
        <v>19562.347351006352</v>
      </c>
      <c r="J157" s="275">
        <f>'Resultater - Vestdanmark'!J157+'Resultater - Østdanmark'!J157</f>
        <v>19562.347351006352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3">
        <f>'Resultater - Vestdanmark'!H158+'Resultater - Østdanmark'!H158</f>
        <v>6383.0710352710576</v>
      </c>
      <c r="I158" s="274">
        <f>'Resultater - Vestdanmark'!I158+'Resultater - Østdanmark'!I158</f>
        <v>6385.1012695000973</v>
      </c>
      <c r="J158" s="275">
        <f>'Resultater - Vestdanmark'!J158+'Resultater - Østdanmark'!J158</f>
        <v>6385.1012695000973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3">
        <f>'Resultater - Vestdanmark'!H159+'Resultater - Østdanmark'!H159</f>
        <v>-302222.60330370459</v>
      </c>
      <c r="I159" s="274">
        <f>'Resultater - Vestdanmark'!I159+'Resultater - Østdanmark'!I159</f>
        <v>-302318.72986576631</v>
      </c>
      <c r="J159" s="275">
        <f>'Resultater - Vestdanmark'!J159+'Resultater - Østdanmark'!J159</f>
        <v>-302318.72986576631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3">
        <f>'Resultater - Vestdanmark'!H160+'Resultater - Østdanmark'!H160</f>
        <v>55488.536199525202</v>
      </c>
      <c r="I160" s="274">
        <f>'Resultater - Vestdanmark'!I160+'Resultater - Østdanmark'!I160</f>
        <v>55506.185184612325</v>
      </c>
      <c r="J160" s="275">
        <f>'Resultater - Vestdanmark'!J160+'Resultater - Østdanmark'!J160</f>
        <v>55506.185184612325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3">
        <f>'Resultater - Vestdanmark'!H161+'Resultater - Østdanmark'!H161</f>
        <v>11642.312333926018</v>
      </c>
      <c r="I161" s="274">
        <f>'Resultater - Vestdanmark'!I161+'Resultater - Østdanmark'!I161</f>
        <v>11560.530706947933</v>
      </c>
      <c r="J161" s="275">
        <f>'Resultater - Vestdanmark'!J161+'Resultater - Østdanmark'!J161</f>
        <v>11560.530706947933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3">
        <f>'Resultater - Vestdanmark'!H162+'Resultater - Østdanmark'!H162</f>
        <v>3800.0216400126183</v>
      </c>
      <c r="I162" s="274">
        <f>'Resultater - Vestdanmark'!I162+'Resultater - Østdanmark'!I162</f>
        <v>3773.3283214210387</v>
      </c>
      <c r="J162" s="275">
        <f>'Resultater - Vestdanmark'!J162+'Resultater - Østdanmark'!J162</f>
        <v>3773.3283214210387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3">
        <f>'Resultater - Vestdanmark'!H163+'Resultater - Østdanmark'!H163</f>
        <v>-118629.63454173651</v>
      </c>
      <c r="I163" s="274">
        <f>'Resultater - Vestdanmark'!I163+'Resultater - Østdanmark'!I163</f>
        <v>-117796.31859535292</v>
      </c>
      <c r="J163" s="275">
        <f>'Resultater - Vestdanmark'!J163+'Resultater - Østdanmark'!J163</f>
        <v>-117796.31859535292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3">
        <f>'Resultater - Vestdanmark'!H164+'Resultater - Østdanmark'!H164</f>
        <v>72508.724428055051</v>
      </c>
      <c r="I164" s="274">
        <f>'Resultater - Vestdanmark'!I164+'Resultater - Østdanmark'!I164</f>
        <v>71999.385622863221</v>
      </c>
      <c r="J164" s="275">
        <f>'Resultater - Vestdanmark'!J164+'Resultater - Østdanmark'!J164</f>
        <v>71999.385622863221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3">
        <f>'Resultater - Vestdanmark'!H165+'Resultater - Østdanmark'!H165</f>
        <v>229792.23730502045</v>
      </c>
      <c r="I165" s="274">
        <f>'Resultater - Vestdanmark'!I165+'Resultater - Østdanmark'!I165</f>
        <v>229792.23730502045</v>
      </c>
      <c r="J165" s="275">
        <f>'Resultater - Vestdanmark'!J165+'Resultater - Østdanmark'!J165</f>
        <v>229792.23730502045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3">
        <f>'Resultater - Vestdanmark'!H166+'Resultater - Østdanmark'!H166</f>
        <v>-2229300.7257745154</v>
      </c>
      <c r="I166" s="274">
        <f>'Resultater - Vestdanmark'!I166+'Resultater - Østdanmark'!I166</f>
        <v>-2229300.7257745154</v>
      </c>
      <c r="J166" s="275">
        <f>'Resultater - Vestdanmark'!J166+'Resultater - Østdanmark'!J166</f>
        <v>-2229300.7257745154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3">
        <f>'Resultater - Vestdanmark'!H167+'Resultater - Østdanmark'!H167</f>
        <v>25343.742518123829</v>
      </c>
      <c r="I167" s="274">
        <f>'Resultater - Vestdanmark'!I167+'Resultater - Østdanmark'!I167</f>
        <v>25343.742518123829</v>
      </c>
      <c r="J167" s="275">
        <f>'Resultater - Vestdanmark'!J167+'Resultater - Østdanmark'!J167</f>
        <v>25343.742518123829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3">
        <f>'Resultater - Vestdanmark'!H168+'Resultater - Østdanmark'!H168</f>
        <v>2895.9534319120221</v>
      </c>
      <c r="I168" s="274">
        <f>'Resultater - Vestdanmark'!I168+'Resultater - Østdanmark'!I168</f>
        <v>2897.2522571576037</v>
      </c>
      <c r="J168" s="275">
        <f>'Resultater - Vestdanmark'!J168+'Resultater - Østdanmark'!J168</f>
        <v>2897.2522571576037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3">
        <f>'Resultater - Vestdanmark'!H169+'Resultater - Østdanmark'!H169</f>
        <v>-22826.968918399438</v>
      </c>
      <c r="I169" s="274">
        <f>'Resultater - Vestdanmark'!I169+'Resultater - Østdanmark'!I169</f>
        <v>-22837.206736171167</v>
      </c>
      <c r="J169" s="275">
        <f>'Resultater - Vestdanmark'!J169+'Resultater - Østdanmark'!J169</f>
        <v>-22837.206736171167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3">
        <f>'Resultater - Vestdanmark'!H170+'Resultater - Østdanmark'!H170</f>
        <v>1872.0097963032511</v>
      </c>
      <c r="I170" s="274">
        <f>'Resultater - Vestdanmark'!I170+'Resultater - Østdanmark'!I170</f>
        <v>1872.8493863175868</v>
      </c>
      <c r="J170" s="275">
        <f>'Resultater - Vestdanmark'!J170+'Resultater - Østdanmark'!J170</f>
        <v>1872.8493863175868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3">
        <f>'Resultater - Vestdanmark'!H171+'Resultater - Østdanmark'!H171</f>
        <v>873.12609941568871</v>
      </c>
      <c r="I171" s="274">
        <f>'Resultater - Vestdanmark'!I171+'Resultater - Østdanmark'!I171</f>
        <v>869.02728661827643</v>
      </c>
      <c r="J171" s="275">
        <f>'Resultater - Vestdanmark'!J171+'Resultater - Østdanmark'!J171</f>
        <v>869.02728661827643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3">
        <f>'Resultater - Vestdanmark'!H172+'Resultater - Østdanmark'!H172</f>
        <v>-5747.8555301287988</v>
      </c>
      <c r="I172" s="274">
        <f>'Resultater - Vestdanmark'!I172+'Resultater - Østdanmark'!I172</f>
        <v>-5720.8727336915654</v>
      </c>
      <c r="J172" s="275">
        <f>'Resultater - Vestdanmark'!J172+'Resultater - Østdanmark'!J172</f>
        <v>-5720.8727336915654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3">
        <f>'Resultater - Vestdanmark'!H173+'Resultater - Østdanmark'!H173</f>
        <v>1238.8653838857663</v>
      </c>
      <c r="I173" s="274">
        <f>'Resultater - Vestdanmark'!I173+'Resultater - Østdanmark'!I173</f>
        <v>1233.0496405548315</v>
      </c>
      <c r="J173" s="275">
        <f>'Resultater - Vestdanmark'!J173+'Resultater - Østdanmark'!J173</f>
        <v>1233.0496405548315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3">
        <f>'Resultater - Vestdanmark'!H174+'Resultater - Østdanmark'!H174</f>
        <v>16747.502556513253</v>
      </c>
      <c r="I174" s="274">
        <f>'Resultater - Vestdanmark'!I174+'Resultater - Østdanmark'!I174</f>
        <v>16747.502556513253</v>
      </c>
      <c r="J174" s="275">
        <f>'Resultater - Vestdanmark'!J174+'Resultater - Østdanmark'!J174</f>
        <v>16747.502556513253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3">
        <f>'Resultater - Vestdanmark'!H175+'Resultater - Østdanmark'!H175</f>
        <v>-162473.80695714155</v>
      </c>
      <c r="I175" s="274">
        <f>'Resultater - Vestdanmark'!I175+'Resultater - Østdanmark'!I175</f>
        <v>-162473.80695714155</v>
      </c>
      <c r="J175" s="275">
        <f>'Resultater - Vestdanmark'!J175+'Resultater - Østdanmark'!J175</f>
        <v>-162473.80695714155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3">
        <f>'Resultater - Vestdanmark'!H176+'Resultater - Østdanmark'!H176</f>
        <v>3240.4892959857261</v>
      </c>
      <c r="I176" s="274">
        <f>'Resultater - Vestdanmark'!I176+'Resultater - Østdanmark'!I176</f>
        <v>3240.4892959857261</v>
      </c>
      <c r="J176" s="275">
        <f>'Resultater - Vestdanmark'!J176+'Resultater - Østdanmark'!J176</f>
        <v>3240.4892959857261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3">
        <f>'Resultater - Vestdanmark'!H177+'Resultater - Østdanmark'!H177</f>
        <v>211.06016492677367</v>
      </c>
      <c r="I177" s="274">
        <f>'Resultater - Vestdanmark'!I177+'Resultater - Østdanmark'!I177</f>
        <v>211.15482469150697</v>
      </c>
      <c r="J177" s="275">
        <f>'Resultater - Vestdanmark'!J177+'Resultater - Østdanmark'!J177</f>
        <v>211.15482469150697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3">
        <f>'Resultater - Vestdanmark'!H178+'Resultater - Østdanmark'!H178</f>
        <v>-1663.6537630768387</v>
      </c>
      <c r="I178" s="274">
        <f>'Resultater - Vestdanmark'!I178+'Resultater - Østdanmark'!I178</f>
        <v>-1664.3999061202935</v>
      </c>
      <c r="J178" s="275">
        <f>'Resultater - Vestdanmark'!J178+'Resultater - Østdanmark'!J178</f>
        <v>-1664.3999061202935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3">
        <f>'Resultater - Vestdanmark'!H179+'Resultater - Østdanmark'!H179</f>
        <v>239.35800730941858</v>
      </c>
      <c r="I179" s="274">
        <f>'Resultater - Vestdanmark'!I179+'Resultater - Østdanmark'!I179</f>
        <v>239.46535856002907</v>
      </c>
      <c r="J179" s="275">
        <f>'Resultater - Vestdanmark'!J179+'Resultater - Østdanmark'!J179</f>
        <v>239.46535856002907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3">
        <f>'Resultater - Vestdanmark'!H180+'Resultater - Østdanmark'!H180</f>
        <v>63.63435838223252</v>
      </c>
      <c r="I180" s="274">
        <f>'Resultater - Vestdanmark'!I180+'Resultater - Østdanmark'!I180</f>
        <v>63.335632547938069</v>
      </c>
      <c r="J180" s="275">
        <f>'Resultater - Vestdanmark'!J180+'Resultater - Østdanmark'!J180</f>
        <v>63.335632547938069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3">
        <f>'Resultater - Vestdanmark'!H181+'Resultater - Østdanmark'!H181</f>
        <v>-418.90982182102539</v>
      </c>
      <c r="I181" s="274">
        <f>'Resultater - Vestdanmark'!I181+'Resultater - Østdanmark'!I181</f>
        <v>-416.94328693014222</v>
      </c>
      <c r="J181" s="275">
        <f>'Resultater - Vestdanmark'!J181+'Resultater - Østdanmark'!J181</f>
        <v>-416.94328693014222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3">
        <f>'Resultater - Vestdanmark'!H182+'Resultater - Østdanmark'!H182</f>
        <v>158.40320397740001</v>
      </c>
      <c r="I182" s="274">
        <f>'Resultater - Vestdanmark'!I182+'Resultater - Østdanmark'!I182</f>
        <v>157.65959422842081</v>
      </c>
      <c r="J182" s="275">
        <f>'Resultater - Vestdanmark'!J182+'Resultater - Østdanmark'!J182</f>
        <v>157.65959422842081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3">
        <f>'Resultater - Vestdanmark'!H183+'Resultater - Østdanmark'!H183</f>
        <v>27718.750814801697</v>
      </c>
      <c r="I183" s="274">
        <f>'Resultater - Vestdanmark'!I183+'Resultater - Østdanmark'!I183</f>
        <v>27718.531120165142</v>
      </c>
      <c r="J183" s="275">
        <f>'Resultater - Vestdanmark'!J183+'Resultater - Østdanmark'!J183</f>
        <v>27718.531120165142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3">
        <f>'Resultater - Vestdanmark'!H184+'Resultater - Østdanmark'!H184</f>
        <v>-23717015.446220245</v>
      </c>
      <c r="I184" s="274">
        <f>'Resultater - Vestdanmark'!I184+'Resultater - Østdanmark'!I184</f>
        <v>-23716827.46873441</v>
      </c>
      <c r="J184" s="275">
        <f>'Resultater - Vestdanmark'!J184+'Resultater - Østdanmark'!J184</f>
        <v>-23716827.46873441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3">
        <f>'Resultater - Vestdanmark'!H185+'Resultater - Østdanmark'!H185</f>
        <v>5135.7375651082511</v>
      </c>
      <c r="I185" s="274">
        <f>'Resultater - Vestdanmark'!I185+'Resultater - Østdanmark'!I185</f>
        <v>5135.6968600272276</v>
      </c>
      <c r="J185" s="275">
        <f>'Resultater - Vestdanmark'!J185+'Resultater - Østdanmark'!J185</f>
        <v>5135.6968600272276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3">
        <f>'Resultater - Vestdanmark'!H186+'Resultater - Østdanmark'!H186</f>
        <v>2020.1720283442451</v>
      </c>
      <c r="I186" s="274">
        <f>'Resultater - Vestdanmark'!I186+'Resultater - Østdanmark'!I186</f>
        <v>2020.1560167655666</v>
      </c>
      <c r="J186" s="275">
        <f>'Resultater - Vestdanmark'!J186+'Resultater - Østdanmark'!J186</f>
        <v>2020.1560167655666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3">
        <f>'Resultater - Vestdanmark'!H187+'Resultater - Østdanmark'!H187</f>
        <v>-1728521.3002700505</v>
      </c>
      <c r="I187" s="274">
        <f>'Resultater - Vestdanmark'!I187+'Resultater - Østdanmark'!I187</f>
        <v>-1728507.6002710361</v>
      </c>
      <c r="J187" s="275">
        <f>'Resultater - Vestdanmark'!J187+'Resultater - Østdanmark'!J187</f>
        <v>-1728507.6002710361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3">
        <f>'Resultater - Vestdanmark'!H188+'Resultater - Østdanmark'!H188</f>
        <v>656.66318203887363</v>
      </c>
      <c r="I188" s="274">
        <f>'Resultater - Vestdanmark'!I188+'Resultater - Østdanmark'!I188</f>
        <v>656.6579774255747</v>
      </c>
      <c r="J188" s="275">
        <f>'Resultater - Vestdanmark'!J188+'Resultater - Østdanmark'!J188</f>
        <v>656.6579774255747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3">
        <f>'Resultater - Vestdanmark'!H189+'Resultater - Østdanmark'!H189</f>
        <v>1960428.2349329358</v>
      </c>
      <c r="I189" s="274">
        <f>'Resultater - Vestdanmark'!I189+'Resultater - Østdanmark'!I189</f>
        <v>1960428.2349329358</v>
      </c>
      <c r="J189" s="275">
        <f>'Resultater - Vestdanmark'!J189+'Resultater - Østdanmark'!J189</f>
        <v>1960428.2349329358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3">
        <f>'Resultater - Vestdanmark'!H190+'Resultater - Østdanmark'!H190</f>
        <v>-6923899.3970784517</v>
      </c>
      <c r="I190" s="274">
        <f>'Resultater - Vestdanmark'!I190+'Resultater - Østdanmark'!I190</f>
        <v>-6923899.3970784517</v>
      </c>
      <c r="J190" s="275">
        <f>'Resultater - Vestdanmark'!J190+'Resultater - Østdanmark'!J190</f>
        <v>-6923899.3970784517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3">
        <f>'Resultater - Vestdanmark'!H191+'Resultater - Østdanmark'!H191</f>
        <v>104952.20706782168</v>
      </c>
      <c r="I191" s="274">
        <f>'Resultater - Vestdanmark'!I191+'Resultater - Østdanmark'!I191</f>
        <v>104952.20706782168</v>
      </c>
      <c r="J191" s="275">
        <f>'Resultater - Vestdanmark'!J191+'Resultater - Østdanmark'!J191</f>
        <v>104952.20706782168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3">
        <f>'Resultater - Vestdanmark'!H192+'Resultater - Østdanmark'!H192</f>
        <v>74529.950322797784</v>
      </c>
      <c r="I192" s="274">
        <f>'Resultater - Vestdanmark'!I192+'Resultater - Østdanmark'!I192</f>
        <v>74534.499342211624</v>
      </c>
      <c r="J192" s="275">
        <f>'Resultater - Vestdanmark'!J192+'Resultater - Østdanmark'!J192</f>
        <v>74534.499342211624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3">
        <f>'Resultater - Vestdanmark'!H193+'Resultater - Østdanmark'!H193</f>
        <v>-175484.74661777477</v>
      </c>
      <c r="I193" s="274">
        <f>'Resultater - Vestdanmark'!I193+'Resultater - Østdanmark'!I193</f>
        <v>-175495.45752682193</v>
      </c>
      <c r="J193" s="275">
        <f>'Resultater - Vestdanmark'!J193+'Resultater - Østdanmark'!J193</f>
        <v>-175495.45752682193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3">
        <f>'Resultater - Vestdanmark'!H194+'Resultater - Østdanmark'!H194</f>
        <v>23385.82028389235</v>
      </c>
      <c r="I194" s="274">
        <f>'Resultater - Vestdanmark'!I194+'Resultater - Østdanmark'!I194</f>
        <v>23387.247663758018</v>
      </c>
      <c r="J194" s="275">
        <f>'Resultater - Vestdanmark'!J194+'Resultater - Østdanmark'!J194</f>
        <v>23387.247663758018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3">
        <f>'Resultater - Vestdanmark'!H195+'Resultater - Østdanmark'!H195</f>
        <v>74479.88306993802</v>
      </c>
      <c r="I195" s="274">
        <f>'Resultater - Vestdanmark'!I195+'Resultater - Østdanmark'!I195</f>
        <v>73610.769015188867</v>
      </c>
      <c r="J195" s="275">
        <f>'Resultater - Vestdanmark'!J195+'Resultater - Østdanmark'!J195</f>
        <v>73610.769015188867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3">
        <f>'Resultater - Vestdanmark'!H196+'Resultater - Østdanmark'!H196</f>
        <v>-112735.83895599192</v>
      </c>
      <c r="I196" s="274">
        <f>'Resultater - Vestdanmark'!I196+'Resultater - Østdanmark'!I196</f>
        <v>-111420.31188919209</v>
      </c>
      <c r="J196" s="275">
        <f>'Resultater - Vestdanmark'!J196+'Resultater - Østdanmark'!J196</f>
        <v>-111420.31188919209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3">
        <f>'Resultater - Vestdanmark'!H197+'Resultater - Østdanmark'!H197</f>
        <v>51296.929124309347</v>
      </c>
      <c r="I197" s="274">
        <f>'Resultater - Vestdanmark'!I197+'Resultater - Østdanmark'!I197</f>
        <v>50698.339542401111</v>
      </c>
      <c r="J197" s="275">
        <f>'Resultater - Vestdanmark'!J197+'Resultater - Østdanmark'!J197</f>
        <v>50698.339542401111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3">
        <f>'Resultater - Vestdanmark'!H198+'Resultater - Østdanmark'!H198</f>
        <v>142878.09397503437</v>
      </c>
      <c r="I198" s="274">
        <f>'Resultater - Vestdanmark'!I198+'Resultater - Østdanmark'!I198</f>
        <v>142878.09397503437</v>
      </c>
      <c r="J198" s="275">
        <f>'Resultater - Vestdanmark'!J198+'Resultater - Østdanmark'!J198</f>
        <v>142878.09397503437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3">
        <f>'Resultater - Vestdanmark'!H199+'Resultater - Østdanmark'!H199</f>
        <v>-504621.14914566139</v>
      </c>
      <c r="I199" s="274">
        <f>'Resultater - Vestdanmark'!I199+'Resultater - Østdanmark'!I199</f>
        <v>-504621.14914566139</v>
      </c>
      <c r="J199" s="275">
        <f>'Resultater - Vestdanmark'!J199+'Resultater - Østdanmark'!J199</f>
        <v>-504621.14914566139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3">
        <f>'Resultater - Vestdanmark'!H200+'Resultater - Østdanmark'!H200</f>
        <v>13419.348123117323</v>
      </c>
      <c r="I200" s="274">
        <f>'Resultater - Vestdanmark'!I200+'Resultater - Østdanmark'!I200</f>
        <v>13419.348123117323</v>
      </c>
      <c r="J200" s="275">
        <f>'Resultater - Vestdanmark'!J200+'Resultater - Østdanmark'!J200</f>
        <v>13419.348123117323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3">
        <f>'Resultater - Vestdanmark'!H201+'Resultater - Østdanmark'!H201</f>
        <v>5431.8220154279852</v>
      </c>
      <c r="I201" s="274">
        <f>'Resultater - Vestdanmark'!I201+'Resultater - Østdanmark'!I201</f>
        <v>5432.1535527991182</v>
      </c>
      <c r="J201" s="275">
        <f>'Resultater - Vestdanmark'!J201+'Resultater - Østdanmark'!J201</f>
        <v>5432.1535527991182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3">
        <f>'Resultater - Vestdanmark'!H202+'Resultater - Østdanmark'!H202</f>
        <v>-12789.514898665619</v>
      </c>
      <c r="I202" s="274">
        <f>'Resultater - Vestdanmark'!I202+'Resultater - Østdanmark'!I202</f>
        <v>-12790.295521104192</v>
      </c>
      <c r="J202" s="275">
        <f>'Resultater - Vestdanmark'!J202+'Resultater - Østdanmark'!J202</f>
        <v>-12790.295521104192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3">
        <f>'Resultater - Vestdanmark'!H203+'Resultater - Østdanmark'!H203</f>
        <v>2990.1463942669939</v>
      </c>
      <c r="I203" s="274">
        <f>'Resultater - Vestdanmark'!I203+'Resultater - Østdanmark'!I203</f>
        <v>2990.3289012180762</v>
      </c>
      <c r="J203" s="275">
        <f>'Resultater - Vestdanmark'!J203+'Resultater - Østdanmark'!J203</f>
        <v>2990.3289012180762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3">
        <f>'Resultater - Vestdanmark'!H204+'Resultater - Østdanmark'!H204</f>
        <v>5428.1730608109774</v>
      </c>
      <c r="I204" s="274">
        <f>'Resultater - Vestdanmark'!I204+'Resultater - Østdanmark'!I204</f>
        <v>5364.8311045094151</v>
      </c>
      <c r="J204" s="275">
        <f>'Resultater - Vestdanmark'!J204+'Resultater - Østdanmark'!J204</f>
        <v>5364.8311045094151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3">
        <f>'Resultater - Vestdanmark'!H205+'Resultater - Østdanmark'!H205</f>
        <v>-8216.3077972908159</v>
      </c>
      <c r="I205" s="274">
        <f>'Resultater - Vestdanmark'!I205+'Resultater - Østdanmark'!I205</f>
        <v>-8120.4307860706867</v>
      </c>
      <c r="J205" s="275">
        <f>'Resultater - Vestdanmark'!J205+'Resultater - Østdanmark'!J205</f>
        <v>-8120.4307860706867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3">
        <f>'Resultater - Vestdanmark'!H206+'Resultater - Østdanmark'!H206</f>
        <v>6558.9030359423223</v>
      </c>
      <c r="I206" s="274">
        <f>'Resultater - Vestdanmark'!I206+'Resultater - Østdanmark'!I206</f>
        <v>6482.3664655650373</v>
      </c>
      <c r="J206" s="275">
        <f>'Resultater - Vestdanmark'!J206+'Resultater - Østdanmark'!J206</f>
        <v>6482.3664655650373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3">
        <f>'Resultater - Vestdanmark'!H207+'Resultater - Østdanmark'!H207</f>
        <v>10615606.672639394</v>
      </c>
      <c r="I207" s="274">
        <f>'Resultater - Vestdanmark'!I207+'Resultater - Østdanmark'!I207</f>
        <v>10615606.672639394</v>
      </c>
      <c r="J207" s="275">
        <f>'Resultater - Vestdanmark'!J207+'Resultater - Østdanmark'!J207</f>
        <v>10615606.672639394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3">
        <f>'Resultater - Vestdanmark'!H208+'Resultater - Østdanmark'!H208</f>
        <v>-33160399.72307751</v>
      </c>
      <c r="I208" s="274">
        <f>'Resultater - Vestdanmark'!I208+'Resultater - Østdanmark'!I208</f>
        <v>-33160399.72307751</v>
      </c>
      <c r="J208" s="275">
        <f>'Resultater - Vestdanmark'!J208+'Resultater - Østdanmark'!J208</f>
        <v>-33160399.72307751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3">
        <f>'Resultater - Vestdanmark'!H209+'Resultater - Østdanmark'!H209</f>
        <v>486429.76821888878</v>
      </c>
      <c r="I209" s="274">
        <f>'Resultater - Vestdanmark'!I209+'Resultater - Østdanmark'!I209</f>
        <v>486429.76821888878</v>
      </c>
      <c r="J209" s="275">
        <f>'Resultater - Vestdanmark'!J209+'Resultater - Østdanmark'!J209</f>
        <v>486429.76821888878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3">
        <f>'Resultater - Vestdanmark'!H210+'Resultater - Østdanmark'!H210</f>
        <v>1227820.3144178872</v>
      </c>
      <c r="I210" s="274">
        <f>'Resultater - Vestdanmark'!I210+'Resultater - Østdanmark'!I210</f>
        <v>1227985.3796656961</v>
      </c>
      <c r="J210" s="275">
        <f>'Resultater - Vestdanmark'!J210+'Resultater - Østdanmark'!J210</f>
        <v>1227985.3796656961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3">
        <f>'Resultater - Vestdanmark'!H211+'Resultater - Østdanmark'!H211</f>
        <v>-2680650.2901102607</v>
      </c>
      <c r="I211" s="274">
        <f>'Resultater - Vestdanmark'!I211+'Resultater - Østdanmark'!I211</f>
        <v>-2681010.6703704908</v>
      </c>
      <c r="J211" s="275">
        <f>'Resultater - Vestdanmark'!J211+'Resultater - Østdanmark'!J211</f>
        <v>-2681010.6703704908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3">
        <f>'Resultater - Vestdanmark'!H212+'Resultater - Østdanmark'!H212</f>
        <v>329754.92419657321</v>
      </c>
      <c r="I212" s="274">
        <f>'Resultater - Vestdanmark'!I212+'Resultater - Østdanmark'!I212</f>
        <v>329799.25566563226</v>
      </c>
      <c r="J212" s="275">
        <f>'Resultater - Vestdanmark'!J212+'Resultater - Østdanmark'!J212</f>
        <v>329799.25566563226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3">
        <f>'Resultater - Vestdanmark'!H213+'Resultater - Østdanmark'!H213</f>
        <v>1475854.3420564069</v>
      </c>
      <c r="I213" s="274">
        <f>'Resultater - Vestdanmark'!I213+'Resultater - Østdanmark'!I213</f>
        <v>1460600.6424832239</v>
      </c>
      <c r="J213" s="275">
        <f>'Resultater - Vestdanmark'!J213+'Resultater - Østdanmark'!J213</f>
        <v>1460600.6424832239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3">
        <f>'Resultater - Vestdanmark'!H214+'Resultater - Østdanmark'!H214</f>
        <v>-2230735.0998434206</v>
      </c>
      <c r="I214" s="274">
        <f>'Resultater - Vestdanmark'!I214+'Resultater - Østdanmark'!I214</f>
        <v>-2207679.3266070494</v>
      </c>
      <c r="J214" s="275">
        <f>'Resultater - Vestdanmark'!J214+'Resultater - Østdanmark'!J214</f>
        <v>-2207679.3266070494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3">
        <f>'Resultater - Vestdanmark'!H215+'Resultater - Østdanmark'!H215</f>
        <v>870022.68593914213</v>
      </c>
      <c r="I215" s="274">
        <f>'Resultater - Vestdanmark'!I215+'Resultater - Østdanmark'!I215</f>
        <v>861030.56232979032</v>
      </c>
      <c r="J215" s="275">
        <f>'Resultater - Vestdanmark'!J215+'Resultater - Østdanmark'!J215</f>
        <v>861030.56232979032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3">
        <f>'Resultater - Vestdanmark'!H216+'Resultater - Østdanmark'!H216</f>
        <v>1058715.4844797079</v>
      </c>
      <c r="I216" s="274">
        <f>'Resultater - Vestdanmark'!I216+'Resultater - Østdanmark'!I216</f>
        <v>1058715.4844797079</v>
      </c>
      <c r="J216" s="275">
        <f>'Resultater - Vestdanmark'!J216+'Resultater - Østdanmark'!J216</f>
        <v>1058715.4844797079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3">
        <f>'Resultater - Vestdanmark'!H217+'Resultater - Østdanmark'!H217</f>
        <v>-3307152.3598217401</v>
      </c>
      <c r="I217" s="274">
        <f>'Resultater - Vestdanmark'!I217+'Resultater - Østdanmark'!I217</f>
        <v>-3307152.3598217401</v>
      </c>
      <c r="J217" s="275">
        <f>'Resultater - Vestdanmark'!J217+'Resultater - Østdanmark'!J217</f>
        <v>-3307152.3598217401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3">
        <f>'Resultater - Vestdanmark'!H218+'Resultater - Østdanmark'!H218</f>
        <v>62195.646757178984</v>
      </c>
      <c r="I218" s="274">
        <f>'Resultater - Vestdanmark'!I218+'Resultater - Østdanmark'!I218</f>
        <v>62195.646757178984</v>
      </c>
      <c r="J218" s="275">
        <f>'Resultater - Vestdanmark'!J218+'Resultater - Østdanmark'!J218</f>
        <v>62195.646757178984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3">
        <f>'Resultater - Vestdanmark'!H219+'Resultater - Østdanmark'!H219</f>
        <v>122452.95244249655</v>
      </c>
      <c r="I219" s="274">
        <f>'Resultater - Vestdanmark'!I219+'Resultater - Østdanmark'!I219</f>
        <v>122469.41472667811</v>
      </c>
      <c r="J219" s="275">
        <f>'Resultater - Vestdanmark'!J219+'Resultater - Østdanmark'!J219</f>
        <v>122469.41472667811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3">
        <f>'Resultater - Vestdanmark'!H220+'Resultater - Østdanmark'!H220</f>
        <v>-267346.56417984271</v>
      </c>
      <c r="I220" s="274">
        <f>'Resultater - Vestdanmark'!I220+'Resultater - Østdanmark'!I220</f>
        <v>-267382.50561715965</v>
      </c>
      <c r="J220" s="275">
        <f>'Resultater - Vestdanmark'!J220+'Resultater - Østdanmark'!J220</f>
        <v>-267382.50561715965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3">
        <f>'Resultater - Vestdanmark'!H221+'Resultater - Østdanmark'!H221</f>
        <v>42162.963950309473</v>
      </c>
      <c r="I221" s="274">
        <f>'Resultater - Vestdanmark'!I221+'Resultater - Østdanmark'!I221</f>
        <v>42168.632239073784</v>
      </c>
      <c r="J221" s="275">
        <f>'Resultater - Vestdanmark'!J221+'Resultater - Østdanmark'!J221</f>
        <v>42168.632239073784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3">
        <f>'Resultater - Vestdanmark'!H222+'Resultater - Østdanmark'!H222</f>
        <v>147189.87740935557</v>
      </c>
      <c r="I222" s="274">
        <f>'Resultater - Vestdanmark'!I222+'Resultater - Østdanmark'!I222</f>
        <v>145668.595731187</v>
      </c>
      <c r="J222" s="275">
        <f>'Resultater - Vestdanmark'!J222+'Resultater - Østdanmark'!J222</f>
        <v>145668.595731187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3">
        <f>'Resultater - Vestdanmark'!H223+'Resultater - Østdanmark'!H223</f>
        <v>-222475.63090894136</v>
      </c>
      <c r="I223" s="274">
        <f>'Resultater - Vestdanmark'!I223+'Resultater - Østdanmark'!I223</f>
        <v>-220176.23296733224</v>
      </c>
      <c r="J223" s="275">
        <f>'Resultater - Vestdanmark'!J223+'Resultater - Østdanmark'!J223</f>
        <v>-220176.23296733224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3">
        <f>'Resultater - Vestdanmark'!H224+'Resultater - Østdanmark'!H224</f>
        <v>111242.41808542692</v>
      </c>
      <c r="I224" s="274">
        <f>'Resultater - Vestdanmark'!I224+'Resultater - Østdanmark'!I224</f>
        <v>110092.67154410823</v>
      </c>
      <c r="J224" s="275">
        <f>'Resultater - Vestdanmark'!J224+'Resultater - Østdanmark'!J224</f>
        <v>110092.67154410823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3">
        <f>'Resultater - Vestdanmark'!H225+'Resultater - Østdanmark'!H225</f>
        <v>252636.14136845001</v>
      </c>
      <c r="I225" s="274">
        <f>'Resultater - Vestdanmark'!I225+'Resultater - Østdanmark'!I225</f>
        <v>252636.14136845001</v>
      </c>
      <c r="J225" s="275">
        <f>'Resultater - Vestdanmark'!J225+'Resultater - Østdanmark'!J225</f>
        <v>252636.14136845001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3">
        <f>'Resultater - Vestdanmark'!H226+'Resultater - Østdanmark'!H226</f>
        <v>75002.300218044285</v>
      </c>
      <c r="I226" s="274">
        <f>'Resultater - Vestdanmark'!I226+'Resultater - Østdanmark'!I226</f>
        <v>75002.300218044285</v>
      </c>
      <c r="J226" s="275">
        <f>'Resultater - Vestdanmark'!J226+'Resultater - Østdanmark'!J226</f>
        <v>75002.300218044285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3">
        <f>'Resultater - Vestdanmark'!H227+'Resultater - Østdanmark'!H227</f>
        <v>0</v>
      </c>
      <c r="I227" s="274">
        <f>'Resultater - Vestdanmark'!I227+'Resultater - Østdanmark'!I227</f>
        <v>0</v>
      </c>
      <c r="J227" s="275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3">
        <f>'Resultater - Vestdanmark'!H228+'Resultater - Østdanmark'!H228</f>
        <v>148812.79058360241</v>
      </c>
      <c r="I228" s="274">
        <f>'Resultater - Vestdanmark'!I228+'Resultater - Østdanmark'!I228</f>
        <v>148812.79058360241</v>
      </c>
      <c r="J228" s="275">
        <f>'Resultater - Vestdanmark'!J228+'Resultater - Østdanmark'!J228</f>
        <v>148812.79058360241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3">
        <f>'Resultater - Vestdanmark'!H229+'Resultater - Østdanmark'!H229</f>
        <v>9551.9923536804617</v>
      </c>
      <c r="I229" s="274">
        <f>'Resultater - Vestdanmark'!I229+'Resultater - Østdanmark'!I229</f>
        <v>9553.0735046008431</v>
      </c>
      <c r="J229" s="275">
        <f>'Resultater - Vestdanmark'!J229+'Resultater - Østdanmark'!J229</f>
        <v>9553.0735046008431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3">
        <f>'Resultater - Vestdanmark'!H230+'Resultater - Østdanmark'!H230</f>
        <v>2835.7834881049771</v>
      </c>
      <c r="I230" s="274">
        <f>'Resultater - Vestdanmark'!I230+'Resultater - Østdanmark'!I230</f>
        <v>2836.1044588317791</v>
      </c>
      <c r="J230" s="275">
        <f>'Resultater - Vestdanmark'!J230+'Resultater - Østdanmark'!J230</f>
        <v>2836.1044588317791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3">
        <f>'Resultater - Vestdanmark'!H231+'Resultater - Østdanmark'!H231</f>
        <v>0</v>
      </c>
      <c r="I231" s="274">
        <f>'Resultater - Vestdanmark'!I231+'Resultater - Østdanmark'!I231</f>
        <v>0</v>
      </c>
      <c r="J231" s="275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3">
        <f>'Resultater - Vestdanmark'!H232+'Resultater - Østdanmark'!H232</f>
        <v>32977.664576989635</v>
      </c>
      <c r="I232" s="274">
        <f>'Resultater - Vestdanmark'!I232+'Resultater - Østdanmark'!I232</f>
        <v>32981.397183873029</v>
      </c>
      <c r="J232" s="275">
        <f>'Resultater - Vestdanmark'!J232+'Resultater - Østdanmark'!J232</f>
        <v>32981.397183873029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3">
        <f>'Resultater - Vestdanmark'!H233+'Resultater - Østdanmark'!H233</f>
        <v>3796.4815039591263</v>
      </c>
      <c r="I233" s="274">
        <f>'Resultater - Vestdanmark'!I233+'Resultater - Østdanmark'!I233</f>
        <v>3755.7793398012354</v>
      </c>
      <c r="J233" s="275">
        <f>'Resultater - Vestdanmark'!J233+'Resultater - Østdanmark'!J233</f>
        <v>3755.7793398012354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3">
        <f>'Resultater - Vestdanmark'!H234+'Resultater - Østdanmark'!H234</f>
        <v>1127.0946587048945</v>
      </c>
      <c r="I234" s="274">
        <f>'Resultater - Vestdanmark'!I234+'Resultater - Østdanmark'!I234</f>
        <v>1115.0110513510201</v>
      </c>
      <c r="J234" s="275">
        <f>'Resultater - Vestdanmark'!J234+'Resultater - Østdanmark'!J234</f>
        <v>1115.0110513510201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3">
        <f>'Resultater - Vestdanmark'!H235+'Resultater - Østdanmark'!H235</f>
        <v>0</v>
      </c>
      <c r="I235" s="274">
        <f>'Resultater - Vestdanmark'!I235+'Resultater - Østdanmark'!I235</f>
        <v>0</v>
      </c>
      <c r="J235" s="275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3">
        <f>'Resultater - Vestdanmark'!H236+'Resultater - Østdanmark'!H236</f>
        <v>28769.864955948491</v>
      </c>
      <c r="I236" s="274">
        <f>'Resultater - Vestdanmark'!I236+'Resultater - Østdanmark'!I236</f>
        <v>28461.422582393872</v>
      </c>
      <c r="J236" s="275">
        <f>'Resultater - Vestdanmark'!J236+'Resultater - Østdanmark'!J236</f>
        <v>28461.422582393872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3">
        <f>'Resultater - Vestdanmark'!H237+'Resultater - Østdanmark'!H237</f>
        <v>18412.390570964348</v>
      </c>
      <c r="I237" s="274">
        <f>'Resultater - Vestdanmark'!I237+'Resultater - Østdanmark'!I237</f>
        <v>18412.390570964348</v>
      </c>
      <c r="J237" s="275">
        <f>'Resultater - Vestdanmark'!J237+'Resultater - Østdanmark'!J237</f>
        <v>18412.390570964348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3">
        <f>'Resultater - Vestdanmark'!H238+'Resultater - Østdanmark'!H238</f>
        <v>5466.2473779684478</v>
      </c>
      <c r="I238" s="274">
        <f>'Resultater - Vestdanmark'!I238+'Resultater - Østdanmark'!I238</f>
        <v>5466.2473779684478</v>
      </c>
      <c r="J238" s="275">
        <f>'Resultater - Vestdanmark'!J238+'Resultater - Østdanmark'!J238</f>
        <v>5466.2473779684478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3">
        <f>'Resultater - Vestdanmark'!H239+'Resultater - Østdanmark'!H239</f>
        <v>0</v>
      </c>
      <c r="I239" s="274">
        <f>'Resultater - Vestdanmark'!I239+'Resultater - Østdanmark'!I239</f>
        <v>0</v>
      </c>
      <c r="J239" s="275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3">
        <f>'Resultater - Vestdanmark'!H240+'Resultater - Østdanmark'!H240</f>
        <v>19027.428748815582</v>
      </c>
      <c r="I240" s="274">
        <f>'Resultater - Vestdanmark'!I240+'Resultater - Østdanmark'!I240</f>
        <v>19027.428748815582</v>
      </c>
      <c r="J240" s="275">
        <f>'Resultater - Vestdanmark'!J240+'Resultater - Østdanmark'!J240</f>
        <v>19027.428748815582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3">
        <f>'Resultater - Vestdanmark'!H241+'Resultater - Østdanmark'!H241</f>
        <v>696.15935785818442</v>
      </c>
      <c r="I241" s="274">
        <f>'Resultater - Vestdanmark'!I241+'Resultater - Østdanmark'!I241</f>
        <v>696.23815328667854</v>
      </c>
      <c r="J241" s="275">
        <f>'Resultater - Vestdanmark'!J241+'Resultater - Østdanmark'!J241</f>
        <v>696.23815328667854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3">
        <f>'Resultater - Vestdanmark'!H242+'Resultater - Østdanmark'!H242</f>
        <v>206.67491545293632</v>
      </c>
      <c r="I242" s="274">
        <f>'Resultater - Vestdanmark'!I242+'Resultater - Østdanmark'!I242</f>
        <v>206.69830814074302</v>
      </c>
      <c r="J242" s="275">
        <f>'Resultater - Vestdanmark'!J242+'Resultater - Østdanmark'!J242</f>
        <v>206.69830814074302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3">
        <f>'Resultater - Vestdanmark'!H243+'Resultater - Østdanmark'!H243</f>
        <v>0</v>
      </c>
      <c r="I243" s="274">
        <f>'Resultater - Vestdanmark'!I243+'Resultater - Østdanmark'!I243</f>
        <v>0</v>
      </c>
      <c r="J243" s="275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3">
        <f>'Resultater - Vestdanmark'!H244+'Resultater - Østdanmark'!H244</f>
        <v>4216.5741303567183</v>
      </c>
      <c r="I244" s="274">
        <f>'Resultater - Vestdanmark'!I244+'Resultater - Østdanmark'!I244</f>
        <v>4217.051387125055</v>
      </c>
      <c r="J244" s="275">
        <f>'Resultater - Vestdanmark'!J244+'Resultater - Østdanmark'!J244</f>
        <v>4217.051387125055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3">
        <f>'Resultater - Vestdanmark'!H245+'Resultater - Østdanmark'!H245</f>
        <v>276.69160820656509</v>
      </c>
      <c r="I245" s="274">
        <f>'Resultater - Vestdanmark'!I245+'Resultater - Østdanmark'!I245</f>
        <v>273.72519121056763</v>
      </c>
      <c r="J245" s="275">
        <f>'Resultater - Vestdanmark'!J245+'Resultater - Østdanmark'!J245</f>
        <v>273.72519121056763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3">
        <f>'Resultater - Vestdanmark'!H246+'Resultater - Østdanmark'!H246</f>
        <v>82.143856987810693</v>
      </c>
      <c r="I246" s="274">
        <f>'Resultater - Vestdanmark'!I246+'Resultater - Østdanmark'!I246</f>
        <v>81.263190837272759</v>
      </c>
      <c r="J246" s="275">
        <f>'Resultater - Vestdanmark'!J246+'Resultater - Østdanmark'!J246</f>
        <v>81.263190837272759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3">
        <f>'Resultater - Vestdanmark'!H247+'Resultater - Østdanmark'!H247</f>
        <v>0</v>
      </c>
      <c r="I247" s="274">
        <f>'Resultater - Vestdanmark'!I247+'Resultater - Østdanmark'!I247</f>
        <v>0</v>
      </c>
      <c r="J247" s="275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3">
        <f>'Resultater - Vestdanmark'!H248+'Resultater - Østdanmark'!H248</f>
        <v>3678.55849900765</v>
      </c>
      <c r="I248" s="274">
        <f>'Resultater - Vestdanmark'!I248+'Resultater - Østdanmark'!I248</f>
        <v>3639.1205900556715</v>
      </c>
      <c r="J248" s="275">
        <f>'Resultater - Vestdanmark'!J248+'Resultater - Østdanmark'!J248</f>
        <v>3639.1205900556715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3">
        <f>'Resultater - Vestdanmark'!H249+'Resultater - Østdanmark'!H249</f>
        <v>2410176.5834804205</v>
      </c>
      <c r="I249" s="274">
        <f>'Resultater - Vestdanmark'!I249+'Resultater - Østdanmark'!I249</f>
        <v>2410176.5834804205</v>
      </c>
      <c r="J249" s="275">
        <f>'Resultater - Vestdanmark'!J249+'Resultater - Østdanmark'!J249</f>
        <v>2410176.5834804205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3">
        <f>'Resultater - Vestdanmark'!H250+'Resultater - Østdanmark'!H250</f>
        <v>-4004417.1927958126</v>
      </c>
      <c r="I250" s="274">
        <f>'Resultater - Vestdanmark'!I250+'Resultater - Østdanmark'!I250</f>
        <v>-4004417.1927958126</v>
      </c>
      <c r="J250" s="275">
        <f>'Resultater - Vestdanmark'!J250+'Resultater - Østdanmark'!J250</f>
        <v>-4004417.1927958126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3">
        <f>'Resultater - Vestdanmark'!H251+'Resultater - Østdanmark'!H251</f>
        <v>67443.117157939108</v>
      </c>
      <c r="I251" s="274">
        <f>'Resultater - Vestdanmark'!I251+'Resultater - Østdanmark'!I251</f>
        <v>67443.117157939108</v>
      </c>
      <c r="J251" s="275">
        <f>'Resultater - Vestdanmark'!J251+'Resultater - Østdanmark'!J251</f>
        <v>67443.117157939108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3">
        <f>'Resultater - Vestdanmark'!H252+'Resultater - Østdanmark'!H252</f>
        <v>16302.299566350639</v>
      </c>
      <c r="I252" s="274">
        <f>'Resultater - Vestdanmark'!I252+'Resultater - Østdanmark'!I252</f>
        <v>16326.613954380589</v>
      </c>
      <c r="J252" s="275">
        <f>'Resultater - Vestdanmark'!J252+'Resultater - Østdanmark'!J252</f>
        <v>16326.613954380589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3">
        <f>'Resultater - Vestdanmark'!H253+'Resultater - Østdanmark'!H253</f>
        <v>-17555.516386431049</v>
      </c>
      <c r="I253" s="274">
        <f>'Resultater - Vestdanmark'!I253+'Resultater - Østdanmark'!I253</f>
        <v>-17581.699909543757</v>
      </c>
      <c r="J253" s="275">
        <f>'Resultater - Vestdanmark'!J253+'Resultater - Østdanmark'!J253</f>
        <v>-17581.699909543757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3">
        <f>'Resultater - Vestdanmark'!H254+'Resultater - Østdanmark'!H254</f>
        <v>2673.7376430017921</v>
      </c>
      <c r="I254" s="274">
        <f>'Resultater - Vestdanmark'!I254+'Resultater - Østdanmark'!I254</f>
        <v>2677.7254420406716</v>
      </c>
      <c r="J254" s="275">
        <f>'Resultater - Vestdanmark'!J254+'Resultater - Østdanmark'!J254</f>
        <v>2677.7254420406716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3">
        <f>'Resultater - Vestdanmark'!H255+'Resultater - Østdanmark'!H255</f>
        <v>7000.5878814400912</v>
      </c>
      <c r="I255" s="274">
        <f>'Resultater - Vestdanmark'!I255+'Resultater - Østdanmark'!I255</f>
        <v>7093.7997959205977</v>
      </c>
      <c r="J255" s="275">
        <f>'Resultater - Vestdanmark'!J255+'Resultater - Østdanmark'!J255</f>
        <v>7093.7997959205977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3">
        <f>'Resultater - Vestdanmark'!H256+'Resultater - Østdanmark'!H256</f>
        <v>-4615.5602634927654</v>
      </c>
      <c r="I256" s="274">
        <f>'Resultater - Vestdanmark'!I256+'Resultater - Østdanmark'!I256</f>
        <v>-4677.0158463447324</v>
      </c>
      <c r="J256" s="275">
        <f>'Resultater - Vestdanmark'!J256+'Resultater - Østdanmark'!J256</f>
        <v>-4677.0158463447324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3">
        <f>'Resultater - Vestdanmark'!H257+'Resultater - Østdanmark'!H257</f>
        <v>2520.2001766035514</v>
      </c>
      <c r="I257" s="274">
        <f>'Resultater - Vestdanmark'!I257+'Resultater - Østdanmark'!I257</f>
        <v>2553.7563132186106</v>
      </c>
      <c r="J257" s="275">
        <f>'Resultater - Vestdanmark'!J257+'Resultater - Østdanmark'!J257</f>
        <v>2553.7563132186106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3">
        <f>'Resultater - Vestdanmark'!H258+'Resultater - Østdanmark'!H258</f>
        <v>175656.2317634254</v>
      </c>
      <c r="I258" s="274">
        <f>'Resultater - Vestdanmark'!I258+'Resultater - Østdanmark'!I258</f>
        <v>175656.2317634254</v>
      </c>
      <c r="J258" s="275">
        <f>'Resultater - Vestdanmark'!J258+'Resultater - Østdanmark'!J258</f>
        <v>175656.2317634254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3">
        <f>'Resultater - Vestdanmark'!H259+'Resultater - Østdanmark'!H259</f>
        <v>-291846.18227409676</v>
      </c>
      <c r="I259" s="274">
        <f>'Resultater - Vestdanmark'!I259+'Resultater - Østdanmark'!I259</f>
        <v>-291846.18227409676</v>
      </c>
      <c r="J259" s="275">
        <f>'Resultater - Vestdanmark'!J259+'Resultater - Østdanmark'!J259</f>
        <v>-291846.18227409676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3">
        <f>'Resultater - Vestdanmark'!H260+'Resultater - Østdanmark'!H260</f>
        <v>8623.3790878329964</v>
      </c>
      <c r="I260" s="274">
        <f>'Resultater - Vestdanmark'!I260+'Resultater - Østdanmark'!I260</f>
        <v>8623.3790878329964</v>
      </c>
      <c r="J260" s="275">
        <f>'Resultater - Vestdanmark'!J260+'Resultater - Østdanmark'!J260</f>
        <v>8623.3790878329964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3">
        <f>'Resultater - Vestdanmark'!H261+'Resultater - Østdanmark'!H261</f>
        <v>1188.1289240510705</v>
      </c>
      <c r="I261" s="274">
        <f>'Resultater - Vestdanmark'!I261+'Resultater - Østdanmark'!I261</f>
        <v>1189.9009825003347</v>
      </c>
      <c r="J261" s="275">
        <f>'Resultater - Vestdanmark'!J261+'Resultater - Østdanmark'!J261</f>
        <v>1189.9009825003347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3">
        <f>'Resultater - Vestdanmark'!H262+'Resultater - Østdanmark'!H262</f>
        <v>-1279.4646982456652</v>
      </c>
      <c r="I262" s="274">
        <f>'Resultater - Vestdanmark'!I262+'Resultater - Østdanmark'!I262</f>
        <v>-1281.3729812469164</v>
      </c>
      <c r="J262" s="275">
        <f>'Resultater - Vestdanmark'!J262+'Resultater - Østdanmark'!J262</f>
        <v>-1281.3729812469164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3">
        <f>'Resultater - Vestdanmark'!H263+'Resultater - Østdanmark'!H263</f>
        <v>341.86814383177432</v>
      </c>
      <c r="I263" s="274">
        <f>'Resultater - Vestdanmark'!I263+'Resultater - Østdanmark'!I263</f>
        <v>342.37802985554498</v>
      </c>
      <c r="J263" s="275">
        <f>'Resultater - Vestdanmark'!J263+'Resultater - Østdanmark'!J263</f>
        <v>342.37802985554498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3">
        <f>'Resultater - Vestdanmark'!H264+'Resultater - Østdanmark'!H264</f>
        <v>510.210287416668</v>
      </c>
      <c r="I264" s="274">
        <f>'Resultater - Vestdanmark'!I264+'Resultater - Østdanmark'!I264</f>
        <v>517.00367084148593</v>
      </c>
      <c r="J264" s="275">
        <f>'Resultater - Vestdanmark'!J264+'Resultater - Østdanmark'!J264</f>
        <v>517.00367084148593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3">
        <f>'Resultater - Vestdanmark'!H265+'Resultater - Østdanmark'!H265</f>
        <v>-336.38693899820993</v>
      </c>
      <c r="I265" s="274">
        <f>'Resultater - Vestdanmark'!I265+'Resultater - Østdanmark'!I265</f>
        <v>-340.86588721245761</v>
      </c>
      <c r="J265" s="275">
        <f>'Resultater - Vestdanmark'!J265+'Resultater - Østdanmark'!J265</f>
        <v>-340.86588721245761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3">
        <f>'Resultater - Vestdanmark'!H266+'Resultater - Østdanmark'!H266</f>
        <v>322.23661087879924</v>
      </c>
      <c r="I266" s="274">
        <f>'Resultater - Vestdanmark'!I266+'Resultater - Østdanmark'!I266</f>
        <v>326.52714931991432</v>
      </c>
      <c r="J266" s="275">
        <f>'Resultater - Vestdanmark'!J266+'Resultater - Østdanmark'!J266</f>
        <v>326.52714931991432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3">
        <f>'Resultater - Vestdanmark'!H267+'Resultater - Østdanmark'!H267</f>
        <v>36988.210710055057</v>
      </c>
      <c r="I267" s="274">
        <f>'Resultater - Vestdanmark'!I267+'Resultater - Østdanmark'!I267</f>
        <v>36988.210710055057</v>
      </c>
      <c r="J267" s="275">
        <f>'Resultater - Vestdanmark'!J267+'Resultater - Østdanmark'!J267</f>
        <v>36988.210710055057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3">
        <f>'Resultater - Vestdanmark'!H268+'Resultater - Østdanmark'!H268</f>
        <v>-609935.15894083725</v>
      </c>
      <c r="I268" s="274">
        <f>'Resultater - Vestdanmark'!I268+'Resultater - Østdanmark'!I268</f>
        <v>-609935.15894083725</v>
      </c>
      <c r="J268" s="275">
        <f>'Resultater - Vestdanmark'!J268+'Resultater - Østdanmark'!J268</f>
        <v>-609935.15894083725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3">
        <f>'Resultater - Vestdanmark'!H269+'Resultater - Østdanmark'!H269</f>
        <v>8563.900760438235</v>
      </c>
      <c r="I269" s="274">
        <f>'Resultater - Vestdanmark'!I269+'Resultater - Østdanmark'!I269</f>
        <v>8563.900760438235</v>
      </c>
      <c r="J269" s="275">
        <f>'Resultater - Vestdanmark'!J269+'Resultater - Østdanmark'!J269</f>
        <v>8563.900760438235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3">
        <f>'Resultater - Vestdanmark'!H270+'Resultater - Østdanmark'!H270</f>
        <v>1136.9217413253709</v>
      </c>
      <c r="I270" s="274">
        <f>'Resultater - Vestdanmark'!I270+'Resultater - Østdanmark'!I270</f>
        <v>1137.5060459471124</v>
      </c>
      <c r="J270" s="275">
        <f>'Resultater - Vestdanmark'!J270+'Resultater - Østdanmark'!J270</f>
        <v>1137.5060459471124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3">
        <f>'Resultater - Vestdanmark'!H271+'Resultater - Østdanmark'!H271</f>
        <v>-15623.188435959159</v>
      </c>
      <c r="I271" s="274">
        <f>'Resultater - Vestdanmark'!I271+'Resultater - Østdanmark'!I271</f>
        <v>-15631.217749567699</v>
      </c>
      <c r="J271" s="275">
        <f>'Resultater - Vestdanmark'!J271+'Resultater - Østdanmark'!J271</f>
        <v>-15631.217749567699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3">
        <f>'Resultater - Vestdanmark'!H272+'Resultater - Østdanmark'!H272</f>
        <v>1189.7832867844982</v>
      </c>
      <c r="I272" s="274">
        <f>'Resultater - Vestdanmark'!I272+'Resultater - Østdanmark'!I272</f>
        <v>1190.3947588393194</v>
      </c>
      <c r="J272" s="275">
        <f>'Resultater - Vestdanmark'!J272+'Resultater - Østdanmark'!J272</f>
        <v>1190.3947588393194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3">
        <f>'Resultater - Vestdanmark'!H273+'Resultater - Østdanmark'!H273</f>
        <v>769.15923740920027</v>
      </c>
      <c r="I273" s="274">
        <f>'Resultater - Vestdanmark'!I273+'Resultater - Østdanmark'!I273</f>
        <v>766.44250704207843</v>
      </c>
      <c r="J273" s="275">
        <f>'Resultater - Vestdanmark'!J273+'Resultater - Østdanmark'!J273</f>
        <v>766.44250704207843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3">
        <f>'Resultater - Vestdanmark'!H274+'Resultater - Østdanmark'!H274</f>
        <v>-9059.5905466336899</v>
      </c>
      <c r="I274" s="274">
        <f>'Resultater - Vestdanmark'!I274+'Resultater - Østdanmark'!I274</f>
        <v>-9027.5913668089343</v>
      </c>
      <c r="J274" s="275">
        <f>'Resultater - Vestdanmark'!J274+'Resultater - Østdanmark'!J274</f>
        <v>-9027.5913668089343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3">
        <f>'Resultater - Vestdanmark'!H275+'Resultater - Østdanmark'!H275</f>
        <v>1844.3834346765289</v>
      </c>
      <c r="I275" s="274">
        <f>'Resultater - Vestdanmark'!I275+'Resultater - Østdanmark'!I275</f>
        <v>1837.8689286524186</v>
      </c>
      <c r="J275" s="275">
        <f>'Resultater - Vestdanmark'!J275+'Resultater - Østdanmark'!J275</f>
        <v>1837.8689286524186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3">
        <f>'Resultater - Vestdanmark'!H276+'Resultater - Østdanmark'!H276</f>
        <v>2695.7401202602077</v>
      </c>
      <c r="I276" s="274">
        <f>'Resultater - Vestdanmark'!I276+'Resultater - Østdanmark'!I276</f>
        <v>2695.7401202602077</v>
      </c>
      <c r="J276" s="275">
        <f>'Resultater - Vestdanmark'!J276+'Resultater - Østdanmark'!J276</f>
        <v>2695.7401202602077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3">
        <f>'Resultater - Vestdanmark'!H277+'Resultater - Østdanmark'!H277</f>
        <v>-44452.722831145948</v>
      </c>
      <c r="I277" s="274">
        <f>'Resultater - Vestdanmark'!I277+'Resultater - Østdanmark'!I277</f>
        <v>-44452.722831145948</v>
      </c>
      <c r="J277" s="275">
        <f>'Resultater - Vestdanmark'!J277+'Resultater - Østdanmark'!J277</f>
        <v>-44452.722831145948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3">
        <f>'Resultater - Vestdanmark'!H278+'Resultater - Østdanmark'!H278</f>
        <v>1094.9933194057135</v>
      </c>
      <c r="I278" s="274">
        <f>'Resultater - Vestdanmark'!I278+'Resultater - Østdanmark'!I278</f>
        <v>1094.9933194057135</v>
      </c>
      <c r="J278" s="275">
        <f>'Resultater - Vestdanmark'!J278+'Resultater - Østdanmark'!J278</f>
        <v>1094.9933194057135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3">
        <f>'Resultater - Vestdanmark'!H279+'Resultater - Østdanmark'!H279</f>
        <v>82.860065216772895</v>
      </c>
      <c r="I279" s="274">
        <f>'Resultater - Vestdanmark'!I279+'Resultater - Østdanmark'!I279</f>
        <v>82.902649958804062</v>
      </c>
      <c r="J279" s="275">
        <f>'Resultater - Vestdanmark'!J279+'Resultater - Østdanmark'!J279</f>
        <v>82.902649958804062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3">
        <f>'Resultater - Vestdanmark'!H280+'Resultater - Østdanmark'!H280</f>
        <v>-1138.6345828767378</v>
      </c>
      <c r="I280" s="274">
        <f>'Resultater - Vestdanmark'!I280+'Resultater - Østdanmark'!I280</f>
        <v>-1139.2197677888269</v>
      </c>
      <c r="J280" s="275">
        <f>'Resultater - Vestdanmark'!J280+'Resultater - Østdanmark'!J280</f>
        <v>-1139.2197677888269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3">
        <f>'Resultater - Vestdanmark'!H281+'Resultater - Østdanmark'!H281</f>
        <v>152.12749271780797</v>
      </c>
      <c r="I281" s="274">
        <f>'Resultater - Vestdanmark'!I281+'Resultater - Østdanmark'!I281</f>
        <v>152.2056764606796</v>
      </c>
      <c r="J281" s="275">
        <f>'Resultater - Vestdanmark'!J281+'Resultater - Østdanmark'!J281</f>
        <v>152.2056764606796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3">
        <f>'Resultater - Vestdanmark'!H282+'Resultater - Østdanmark'!H282</f>
        <v>56.05714294768709</v>
      </c>
      <c r="I282" s="274">
        <f>'Resultater - Vestdanmark'!I282+'Resultater - Østdanmark'!I282</f>
        <v>55.859144750261741</v>
      </c>
      <c r="J282" s="275">
        <f>'Resultater - Vestdanmark'!J282+'Resultater - Østdanmark'!J282</f>
        <v>55.859144750261741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3">
        <f>'Resultater - Vestdanmark'!H283+'Resultater - Østdanmark'!H283</f>
        <v>-660.27259066769261</v>
      </c>
      <c r="I283" s="274">
        <f>'Resultater - Vestdanmark'!I283+'Resultater - Østdanmark'!I283</f>
        <v>-657.94045642239985</v>
      </c>
      <c r="J283" s="275">
        <f>'Resultater - Vestdanmark'!J283+'Resultater - Østdanmark'!J283</f>
        <v>-657.94045642239985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3">
        <f>'Resultater - Vestdanmark'!H284+'Resultater - Østdanmark'!H284</f>
        <v>235.82565887767433</v>
      </c>
      <c r="I284" s="274">
        <f>'Resultater - Vestdanmark'!I284+'Resultater - Østdanmark'!I284</f>
        <v>234.9927042726207</v>
      </c>
      <c r="J284" s="275">
        <f>'Resultater - Vestdanmark'!J284+'Resultater - Østdanmark'!J284</f>
        <v>234.9927042726207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3">
        <f>'Resultater - Vestdanmark'!H285+'Resultater - Østdanmark'!H285</f>
        <v>1770707.1441729828</v>
      </c>
      <c r="I285" s="274">
        <f>'Resultater - Vestdanmark'!I285+'Resultater - Østdanmark'!I285</f>
        <v>1770707.1441729828</v>
      </c>
      <c r="J285" s="275">
        <f>'Resultater - Vestdanmark'!J285+'Resultater - Østdanmark'!J285</f>
        <v>1770707.1441729828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3">
        <f>'Resultater - Vestdanmark'!H286+'Resultater - Østdanmark'!H286</f>
        <v>-8443698.8320951127</v>
      </c>
      <c r="I286" s="274">
        <f>'Resultater - Vestdanmark'!I286+'Resultater - Østdanmark'!I286</f>
        <v>-8443698.8320951127</v>
      </c>
      <c r="J286" s="275">
        <f>'Resultater - Vestdanmark'!J286+'Resultater - Østdanmark'!J286</f>
        <v>-8443698.8320951127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3">
        <f>'Resultater - Vestdanmark'!H287+'Resultater - Østdanmark'!H287</f>
        <v>135120.63677615169</v>
      </c>
      <c r="I287" s="274">
        <f>'Resultater - Vestdanmark'!I287+'Resultater - Østdanmark'!I287</f>
        <v>135120.63677615169</v>
      </c>
      <c r="J287" s="275">
        <f>'Resultater - Vestdanmark'!J287+'Resultater - Østdanmark'!J287</f>
        <v>135120.63677615169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3">
        <f>'Resultater - Vestdanmark'!H288+'Resultater - Østdanmark'!H288</f>
        <v>59290.041004910265</v>
      </c>
      <c r="I288" s="274">
        <f>'Resultater - Vestdanmark'!I288+'Resultater - Østdanmark'!I288</f>
        <v>59304.683547144174</v>
      </c>
      <c r="J288" s="275">
        <f>'Resultater - Vestdanmark'!J288+'Resultater - Østdanmark'!J288</f>
        <v>59304.683547144174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3">
        <f>'Resultater - Vestdanmark'!H289+'Resultater - Østdanmark'!H289</f>
        <v>-207278.07918935828</v>
      </c>
      <c r="I289" s="274">
        <f>'Resultater - Vestdanmark'!I289+'Resultater - Østdanmark'!I289</f>
        <v>-207329.26954067615</v>
      </c>
      <c r="J289" s="275">
        <f>'Resultater - Vestdanmark'!J289+'Resultater - Østdanmark'!J289</f>
        <v>-207329.26954067615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3">
        <f>'Resultater - Vestdanmark'!H290+'Resultater - Østdanmark'!H290</f>
        <v>26517.821531805323</v>
      </c>
      <c r="I290" s="274">
        <f>'Resultater - Vestdanmark'!I290+'Resultater - Østdanmark'!I290</f>
        <v>26524.37049542804</v>
      </c>
      <c r="J290" s="275">
        <f>'Resultater - Vestdanmark'!J290+'Resultater - Østdanmark'!J290</f>
        <v>26524.37049542804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3">
        <f>'Resultater - Vestdanmark'!H291+'Resultater - Østdanmark'!H291</f>
        <v>39797.443271560704</v>
      </c>
      <c r="I291" s="274">
        <f>'Resultater - Vestdanmark'!I291+'Resultater - Østdanmark'!I291</f>
        <v>39467.034084753584</v>
      </c>
      <c r="J291" s="275">
        <f>'Resultater - Vestdanmark'!J291+'Resultater - Østdanmark'!J291</f>
        <v>39467.034084753584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3">
        <f>'Resultater - Vestdanmark'!H292+'Resultater - Østdanmark'!H292</f>
        <v>-102957.62524429863</v>
      </c>
      <c r="I292" s="274">
        <f>'Resultater - Vestdanmark'!I292+'Resultater - Østdanmark'!I292</f>
        <v>-102102.84306644776</v>
      </c>
      <c r="J292" s="275">
        <f>'Resultater - Vestdanmark'!J292+'Resultater - Østdanmark'!J292</f>
        <v>-102102.84306644776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3">
        <f>'Resultater - Vestdanmark'!H293+'Resultater - Østdanmark'!H293</f>
        <v>39069.861329482206</v>
      </c>
      <c r="I293" s="274">
        <f>'Resultater - Vestdanmark'!I293+'Resultater - Østdanmark'!I293</f>
        <v>38745.492725638607</v>
      </c>
      <c r="J293" s="275">
        <f>'Resultater - Vestdanmark'!J293+'Resultater - Østdanmark'!J293</f>
        <v>38745.492725638607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3">
        <f>'Resultater - Vestdanmark'!H294+'Resultater - Østdanmark'!H294</f>
        <v>129051.01918003485</v>
      </c>
      <c r="I294" s="274">
        <f>'Resultater - Vestdanmark'!I294+'Resultater - Østdanmark'!I294</f>
        <v>129051.01918003485</v>
      </c>
      <c r="J294" s="275">
        <f>'Resultater - Vestdanmark'!J294+'Resultater - Østdanmark'!J294</f>
        <v>129051.01918003485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3">
        <f>'Resultater - Vestdanmark'!H295+'Resultater - Østdanmark'!H295</f>
        <v>-615385.74773192033</v>
      </c>
      <c r="I295" s="274">
        <f>'Resultater - Vestdanmark'!I295+'Resultater - Østdanmark'!I295</f>
        <v>-615385.74773192033</v>
      </c>
      <c r="J295" s="275">
        <f>'Resultater - Vestdanmark'!J295+'Resultater - Østdanmark'!J295</f>
        <v>-615385.74773192033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3">
        <f>'Resultater - Vestdanmark'!H296+'Resultater - Østdanmark'!H296</f>
        <v>17276.729229188404</v>
      </c>
      <c r="I296" s="274">
        <f>'Resultater - Vestdanmark'!I296+'Resultater - Østdanmark'!I296</f>
        <v>17276.729229188404</v>
      </c>
      <c r="J296" s="275">
        <f>'Resultater - Vestdanmark'!J296+'Resultater - Østdanmark'!J296</f>
        <v>17276.729229188404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3">
        <f>'Resultater - Vestdanmark'!H297+'Resultater - Østdanmark'!H297</f>
        <v>4321.1212221563428</v>
      </c>
      <c r="I297" s="274">
        <f>'Resultater - Vestdanmark'!I297+'Resultater - Østdanmark'!I297</f>
        <v>4322.1883862014483</v>
      </c>
      <c r="J297" s="275">
        <f>'Resultater - Vestdanmark'!J297+'Resultater - Østdanmark'!J297</f>
        <v>4322.1883862014483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3">
        <f>'Resultater - Vestdanmark'!H298+'Resultater - Østdanmark'!H298</f>
        <v>-15106.646777302138</v>
      </c>
      <c r="I298" s="274">
        <f>'Resultater - Vestdanmark'!I298+'Resultater - Østdanmark'!I298</f>
        <v>-15110.377584528784</v>
      </c>
      <c r="J298" s="275">
        <f>'Resultater - Vestdanmark'!J298+'Resultater - Østdanmark'!J298</f>
        <v>-15110.377584528784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3">
        <f>'Resultater - Vestdanmark'!H299+'Resultater - Østdanmark'!H299</f>
        <v>3390.6088165638589</v>
      </c>
      <c r="I299" s="274">
        <f>'Resultater - Vestdanmark'!I299+'Resultater - Østdanmark'!I299</f>
        <v>3391.4461769696491</v>
      </c>
      <c r="J299" s="275">
        <f>'Resultater - Vestdanmark'!J299+'Resultater - Østdanmark'!J299</f>
        <v>3391.4461769696491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3">
        <f>'Resultater - Vestdanmark'!H300+'Resultater - Østdanmark'!H300</f>
        <v>2900.4799759551861</v>
      </c>
      <c r="I300" s="274">
        <f>'Resultater - Vestdanmark'!I300+'Resultater - Østdanmark'!I300</f>
        <v>2876.3994031488796</v>
      </c>
      <c r="J300" s="275">
        <f>'Resultater - Vestdanmark'!J300+'Resultater - Østdanmark'!J300</f>
        <v>2876.3994031488796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3">
        <f>'Resultater - Vestdanmark'!H301+'Resultater - Østdanmark'!H301</f>
        <v>-7503.6611863552844</v>
      </c>
      <c r="I301" s="274">
        <f>'Resultater - Vestdanmark'!I301+'Resultater - Østdanmark'!I301</f>
        <v>-7441.3637524788865</v>
      </c>
      <c r="J301" s="275">
        <f>'Resultater - Vestdanmark'!J301+'Resultater - Østdanmark'!J301</f>
        <v>-7441.3637524788865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3">
        <f>'Resultater - Vestdanmark'!H302+'Resultater - Østdanmark'!H302</f>
        <v>4995.5316324451924</v>
      </c>
      <c r="I302" s="274">
        <f>'Resultater - Vestdanmark'!I302+'Resultater - Østdanmark'!I302</f>
        <v>4954.0573715716328</v>
      </c>
      <c r="J302" s="275">
        <f>'Resultater - Vestdanmark'!J302+'Resultater - Østdanmark'!J302</f>
        <v>4954.0573715716328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3">
        <f>'Resultater - Vestdanmark'!H303+'Resultater - Østdanmark'!H303</f>
        <v>6824552.1371091604</v>
      </c>
      <c r="I303" s="274">
        <f>'Resultater - Vestdanmark'!I303+'Resultater - Østdanmark'!I303</f>
        <v>6824552.1371091604</v>
      </c>
      <c r="J303" s="275">
        <f>'Resultater - Vestdanmark'!J303+'Resultater - Østdanmark'!J303</f>
        <v>6824552.1371091604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3">
        <f>'Resultater - Vestdanmark'!H304+'Resultater - Østdanmark'!H304</f>
        <v>-24532202.694618411</v>
      </c>
      <c r="I304" s="274">
        <f>'Resultater - Vestdanmark'!I304+'Resultater - Østdanmark'!I304</f>
        <v>-24532202.694618411</v>
      </c>
      <c r="J304" s="275">
        <f>'Resultater - Vestdanmark'!J304+'Resultater - Østdanmark'!J304</f>
        <v>-24532202.694618411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3">
        <f>'Resultater - Vestdanmark'!H305+'Resultater - Østdanmark'!H305</f>
        <v>348617.06930478453</v>
      </c>
      <c r="I305" s="274">
        <f>'Resultater - Vestdanmark'!I305+'Resultater - Østdanmark'!I305</f>
        <v>348617.06930478453</v>
      </c>
      <c r="J305" s="275">
        <f>'Resultater - Vestdanmark'!J305+'Resultater - Østdanmark'!J305</f>
        <v>348617.06930478453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3">
        <f>'Resultater - Vestdanmark'!H306+'Resultater - Østdanmark'!H306</f>
        <v>263505.94367690803</v>
      </c>
      <c r="I306" s="274">
        <f>'Resultater - Vestdanmark'!I306+'Resultater - Østdanmark'!I306</f>
        <v>263520.14398259664</v>
      </c>
      <c r="J306" s="275">
        <f>'Resultater - Vestdanmark'!J306+'Resultater - Østdanmark'!J306</f>
        <v>263520.14398259664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3">
        <f>'Resultater - Vestdanmark'!H307+'Resultater - Østdanmark'!H307</f>
        <v>-641349.74683588033</v>
      </c>
      <c r="I307" s="274">
        <f>'Resultater - Vestdanmark'!I307+'Resultater - Østdanmark'!I307</f>
        <v>-641384.30910165433</v>
      </c>
      <c r="J307" s="275">
        <f>'Resultater - Vestdanmark'!J307+'Resultater - Østdanmark'!J307</f>
        <v>-641384.30910165433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3">
        <f>'Resultater - Vestdanmark'!H308+'Resultater - Østdanmark'!H308</f>
        <v>78894.37795433517</v>
      </c>
      <c r="I308" s="274">
        <f>'Resultater - Vestdanmark'!I308+'Resultater - Østdanmark'!I308</f>
        <v>78898.629563495982</v>
      </c>
      <c r="J308" s="275">
        <f>'Resultater - Vestdanmark'!J308+'Resultater - Østdanmark'!J308</f>
        <v>78898.629563495982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3">
        <f>'Resultater - Vestdanmark'!H309+'Resultater - Østdanmark'!H309</f>
        <v>104547.38485235954</v>
      </c>
      <c r="I309" s="274">
        <f>'Resultater - Vestdanmark'!I309+'Resultater - Østdanmark'!I309</f>
        <v>103313.8031026012</v>
      </c>
      <c r="J309" s="275">
        <f>'Resultater - Vestdanmark'!J309+'Resultater - Østdanmark'!J309</f>
        <v>103313.8031026012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3">
        <f>'Resultater - Vestdanmark'!H310+'Resultater - Østdanmark'!H310</f>
        <v>-167775.11450454078</v>
      </c>
      <c r="I310" s="274">
        <f>'Resultater - Vestdanmark'!I310+'Resultater - Østdanmark'!I310</f>
        <v>-165795.49234939372</v>
      </c>
      <c r="J310" s="275">
        <f>'Resultater - Vestdanmark'!J310+'Resultater - Østdanmark'!J310</f>
        <v>-165795.49234939372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3">
        <f>'Resultater - Vestdanmark'!H311+'Resultater - Østdanmark'!H311</f>
        <v>68706.752116598291</v>
      </c>
      <c r="I311" s="274">
        <f>'Resultater - Vestdanmark'!I311+'Resultater - Østdanmark'!I311</f>
        <v>67896.063301991438</v>
      </c>
      <c r="J311" s="275">
        <f>'Resultater - Vestdanmark'!J311+'Resultater - Østdanmark'!J311</f>
        <v>67896.063301991438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3">
        <f>'Resultater - Vestdanmark'!H312+'Resultater - Østdanmark'!H312</f>
        <v>724255.98356433213</v>
      </c>
      <c r="I312" s="274">
        <f>'Resultater - Vestdanmark'!I312+'Resultater - Østdanmark'!I312</f>
        <v>724255.98356433213</v>
      </c>
      <c r="J312" s="275">
        <f>'Resultater - Vestdanmark'!J312+'Resultater - Østdanmark'!J312</f>
        <v>724255.98356433213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3">
        <f>'Resultater - Vestdanmark'!H313+'Resultater - Østdanmark'!H313</f>
        <v>-2603481.405758102</v>
      </c>
      <c r="I313" s="274">
        <f>'Resultater - Vestdanmark'!I313+'Resultater - Østdanmark'!I313</f>
        <v>-2603481.405758102</v>
      </c>
      <c r="J313" s="275">
        <f>'Resultater - Vestdanmark'!J313+'Resultater - Østdanmark'!J313</f>
        <v>-2603481.405758102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3">
        <f>'Resultater - Vestdanmark'!H314+'Resultater - Østdanmark'!H314</f>
        <v>44574.706386485894</v>
      </c>
      <c r="I314" s="274">
        <f>'Resultater - Vestdanmark'!I314+'Resultater - Østdanmark'!I314</f>
        <v>44574.706386485894</v>
      </c>
      <c r="J314" s="275">
        <f>'Resultater - Vestdanmark'!J314+'Resultater - Østdanmark'!J314</f>
        <v>44574.706386485894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3">
        <f>'Resultater - Vestdanmark'!H315+'Resultater - Østdanmark'!H315</f>
        <v>27964.583254485577</v>
      </c>
      <c r="I315" s="274">
        <f>'Resultater - Vestdanmark'!I315+'Resultater - Østdanmark'!I315</f>
        <v>27966.090262734146</v>
      </c>
      <c r="J315" s="275">
        <f>'Resultater - Vestdanmark'!J315+'Resultater - Østdanmark'!J315</f>
        <v>27966.090262734146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3">
        <f>'Resultater - Vestdanmark'!H316+'Resultater - Østdanmark'!H316</f>
        <v>-68063.278347246393</v>
      </c>
      <c r="I316" s="274">
        <f>'Resultater - Vestdanmark'!I316+'Resultater - Østdanmark'!I316</f>
        <v>-68066.946269666718</v>
      </c>
      <c r="J316" s="275">
        <f>'Resultater - Vestdanmark'!J316+'Resultater - Østdanmark'!J316</f>
        <v>-68066.946269666718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3">
        <f>'Resultater - Vestdanmark'!H317+'Resultater - Østdanmark'!H317</f>
        <v>10087.55463371877</v>
      </c>
      <c r="I317" s="274">
        <f>'Resultater - Vestdanmark'!I317+'Resultater - Østdanmark'!I317</f>
        <v>10088.098250904215</v>
      </c>
      <c r="J317" s="275">
        <f>'Resultater - Vestdanmark'!J317+'Resultater - Østdanmark'!J317</f>
        <v>10088.098250904215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3">
        <f>'Resultater - Vestdanmark'!H318+'Resultater - Østdanmark'!H318</f>
        <v>11095.097161555068</v>
      </c>
      <c r="I318" s="274">
        <f>'Resultater - Vestdanmark'!I318+'Resultater - Østdanmark'!I318</f>
        <v>10964.183228226004</v>
      </c>
      <c r="J318" s="275">
        <f>'Resultater - Vestdanmark'!J318+'Resultater - Østdanmark'!J318</f>
        <v>10964.183228226004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3">
        <f>'Resultater - Vestdanmark'!H319+'Resultater - Østdanmark'!H319</f>
        <v>-17805.143565739752</v>
      </c>
      <c r="I319" s="274">
        <f>'Resultater - Vestdanmark'!I319+'Resultater - Østdanmark'!I319</f>
        <v>-17595.056051972279</v>
      </c>
      <c r="J319" s="275">
        <f>'Resultater - Vestdanmark'!J319+'Resultater - Østdanmark'!J319</f>
        <v>-17595.056051972279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3">
        <f>'Resultater - Vestdanmark'!H320+'Resultater - Østdanmark'!H320</f>
        <v>8784.9493671490909</v>
      </c>
      <c r="I320" s="274">
        <f>'Resultater - Vestdanmark'!I320+'Resultater - Østdanmark'!I320</f>
        <v>8681.2934677005305</v>
      </c>
      <c r="J320" s="275">
        <f>'Resultater - Vestdanmark'!J320+'Resultater - Østdanmark'!J320</f>
        <v>8681.2934677005305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3">
        <f>'Resultater - Vestdanmark'!H321+'Resultater - Østdanmark'!H321</f>
        <v>613620.0150142312</v>
      </c>
      <c r="I321" s="274">
        <f>'Resultater - Vestdanmark'!I321+'Resultater - Østdanmark'!I321</f>
        <v>613620.0150142312</v>
      </c>
      <c r="J321" s="275">
        <f>'Resultater - Vestdanmark'!J321+'Resultater - Østdanmark'!J321</f>
        <v>613620.0150142312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3">
        <f>'Resultater - Vestdanmark'!H322+'Resultater - Østdanmark'!H322</f>
        <v>327737.51811917598</v>
      </c>
      <c r="I322" s="274">
        <f>'Resultater - Vestdanmark'!I322+'Resultater - Østdanmark'!I322</f>
        <v>327737.51811917598</v>
      </c>
      <c r="J322" s="275">
        <f>'Resultater - Vestdanmark'!J322+'Resultater - Østdanmark'!J322</f>
        <v>327737.51811917598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3">
        <f>'Resultater - Vestdanmark'!H323+'Resultater - Østdanmark'!H323</f>
        <v>-24405341.506247833</v>
      </c>
      <c r="I323" s="274">
        <f>'Resultater - Vestdanmark'!I323+'Resultater - Østdanmark'!I323</f>
        <v>-24405341.506247833</v>
      </c>
      <c r="J323" s="275">
        <f>'Resultater - Vestdanmark'!J323+'Resultater - Østdanmark'!J323</f>
        <v>-24405341.506247833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3">
        <f>'Resultater - Vestdanmark'!H324+'Resultater - Østdanmark'!H324</f>
        <v>317087.35725322756</v>
      </c>
      <c r="I324" s="274">
        <f>'Resultater - Vestdanmark'!I324+'Resultater - Østdanmark'!I324</f>
        <v>317087.35725322756</v>
      </c>
      <c r="J324" s="275">
        <f>'Resultater - Vestdanmark'!J324+'Resultater - Østdanmark'!J324</f>
        <v>317087.35725322756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3">
        <f>'Resultater - Vestdanmark'!H325+'Resultater - Østdanmark'!H325</f>
        <v>13566.838006498305</v>
      </c>
      <c r="I325" s="274">
        <f>'Resultater - Vestdanmark'!I325+'Resultater - Østdanmark'!I325</f>
        <v>13571.815862667609</v>
      </c>
      <c r="J325" s="275">
        <f>'Resultater - Vestdanmark'!J325+'Resultater - Østdanmark'!J325</f>
        <v>13571.815862667609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3">
        <f>'Resultater - Vestdanmark'!H326+'Resultater - Østdanmark'!H326</f>
        <v>7246.116013460778</v>
      </c>
      <c r="I326" s="274">
        <f>'Resultater - Vestdanmark'!I326+'Resultater - Østdanmark'!I326</f>
        <v>7248.7747113300848</v>
      </c>
      <c r="J326" s="275">
        <f>'Resultater - Vestdanmark'!J326+'Resultater - Østdanmark'!J326</f>
        <v>7248.7747113300848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3">
        <f>'Resultater - Vestdanmark'!H327+'Resultater - Østdanmark'!H327</f>
        <v>-372574.14979966939</v>
      </c>
      <c r="I327" s="274">
        <f>'Resultater - Vestdanmark'!I327+'Resultater - Østdanmark'!I327</f>
        <v>-372710.85228916729</v>
      </c>
      <c r="J327" s="275">
        <f>'Resultater - Vestdanmark'!J327+'Resultater - Østdanmark'!J327</f>
        <v>-372710.85228916729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3">
        <f>'Resultater - Vestdanmark'!H328+'Resultater - Østdanmark'!H328</f>
        <v>41090.289191876247</v>
      </c>
      <c r="I328" s="274">
        <f>'Resultater - Vestdanmark'!I328+'Resultater - Østdanmark'!I328</f>
        <v>41105.365774161248</v>
      </c>
      <c r="J328" s="275">
        <f>'Resultater - Vestdanmark'!J328+'Resultater - Østdanmark'!J328</f>
        <v>41105.365774161248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3">
        <f>'Resultater - Vestdanmark'!H329+'Resultater - Østdanmark'!H329</f>
        <v>6570.1536799285823</v>
      </c>
      <c r="I329" s="274">
        <f>'Resultater - Vestdanmark'!I329+'Resultater - Østdanmark'!I329</f>
        <v>6529.7487605320057</v>
      </c>
      <c r="J329" s="275">
        <f>'Resultater - Vestdanmark'!J329+'Resultater - Østdanmark'!J329</f>
        <v>6529.7487605320057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3">
        <f>'Resultater - Vestdanmark'!H330+'Resultater - Østdanmark'!H330</f>
        <v>3509.1519312182554</v>
      </c>
      <c r="I330" s="274">
        <f>'Resultater - Vestdanmark'!I330+'Resultater - Østdanmark'!I330</f>
        <v>3487.5714617439462</v>
      </c>
      <c r="J330" s="275">
        <f>'Resultater - Vestdanmark'!J330+'Resultater - Østdanmark'!J330</f>
        <v>3487.5714617439462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3">
        <f>'Resultater - Vestdanmark'!H331+'Resultater - Østdanmark'!H331</f>
        <v>-122657.08980386153</v>
      </c>
      <c r="I331" s="274">
        <f>'Resultater - Vestdanmark'!I331+'Resultater - Østdanmark'!I331</f>
        <v>-121902.77718525661</v>
      </c>
      <c r="J331" s="275">
        <f>'Resultater - Vestdanmark'!J331+'Resultater - Østdanmark'!J331</f>
        <v>-121902.77718525661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3">
        <f>'Resultater - Vestdanmark'!H332+'Resultater - Østdanmark'!H332</f>
        <v>43678.396988286549</v>
      </c>
      <c r="I332" s="274">
        <f>'Resultater - Vestdanmark'!I332+'Resultater - Østdanmark'!I332</f>
        <v>43409.784989898319</v>
      </c>
      <c r="J332" s="275">
        <f>'Resultater - Vestdanmark'!J332+'Resultater - Østdanmark'!J332</f>
        <v>43409.784989898319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3">
        <f>'Resultater - Vestdanmark'!H333+'Resultater - Østdanmark'!H333</f>
        <v>43152.111373008069</v>
      </c>
      <c r="I333" s="274">
        <f>'Resultater - Vestdanmark'!I333+'Resultater - Østdanmark'!I333</f>
        <v>43152.111373008069</v>
      </c>
      <c r="J333" s="275">
        <f>'Resultater - Vestdanmark'!J333+'Resultater - Østdanmark'!J333</f>
        <v>43152.111373008069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3">
        <f>'Resultater - Vestdanmark'!H334+'Resultater - Østdanmark'!H334</f>
        <v>23047.758444880474</v>
      </c>
      <c r="I334" s="274">
        <f>'Resultater - Vestdanmark'!I334+'Resultater - Østdanmark'!I334</f>
        <v>23047.758444880474</v>
      </c>
      <c r="J334" s="275">
        <f>'Resultater - Vestdanmark'!J334+'Resultater - Østdanmark'!J334</f>
        <v>23047.758444880474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3">
        <f>'Resultater - Vestdanmark'!H335+'Resultater - Østdanmark'!H335</f>
        <v>-1716277.1568810029</v>
      </c>
      <c r="I335" s="274">
        <f>'Resultater - Vestdanmark'!I335+'Resultater - Østdanmark'!I335</f>
        <v>-1716277.1568810029</v>
      </c>
      <c r="J335" s="275">
        <f>'Resultater - Vestdanmark'!J335+'Resultater - Østdanmark'!J335</f>
        <v>-1716277.1568810029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3">
        <f>'Resultater - Vestdanmark'!H336+'Resultater - Østdanmark'!H336</f>
        <v>40543.269658642035</v>
      </c>
      <c r="I336" s="274">
        <f>'Resultater - Vestdanmark'!I336+'Resultater - Østdanmark'!I336</f>
        <v>40543.269658642035</v>
      </c>
      <c r="J336" s="275">
        <f>'Resultater - Vestdanmark'!J336+'Resultater - Østdanmark'!J336</f>
        <v>40543.269658642035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3">
        <f>'Resultater - Vestdanmark'!H337+'Resultater - Østdanmark'!H337</f>
        <v>954.07204835454411</v>
      </c>
      <c r="I337" s="274">
        <f>'Resultater - Vestdanmark'!I337+'Resultater - Østdanmark'!I337</f>
        <v>954.42211027977578</v>
      </c>
      <c r="J337" s="275">
        <f>'Resultater - Vestdanmark'!J337+'Resultater - Østdanmark'!J337</f>
        <v>954.42211027977578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3">
        <f>'Resultater - Vestdanmark'!H338+'Resultater - Østdanmark'!H338</f>
        <v>509.57465138640373</v>
      </c>
      <c r="I338" s="274">
        <f>'Resultater - Vestdanmark'!I338+'Resultater - Østdanmark'!I338</f>
        <v>509.76162121097957</v>
      </c>
      <c r="J338" s="275">
        <f>'Resultater - Vestdanmark'!J338+'Resultater - Østdanmark'!J338</f>
        <v>509.76162121097957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3">
        <f>'Resultater - Vestdanmark'!H339+'Resultater - Østdanmark'!H339</f>
        <v>-26200.842237009252</v>
      </c>
      <c r="I339" s="274">
        <f>'Resultater - Vestdanmark'!I339+'Resultater - Østdanmark'!I339</f>
        <v>-26210.455680031715</v>
      </c>
      <c r="J339" s="275">
        <f>'Resultater - Vestdanmark'!J339+'Resultater - Østdanmark'!J339</f>
        <v>-26210.455680031715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3">
        <f>'Resultater - Vestdanmark'!H340+'Resultater - Østdanmark'!H340</f>
        <v>5253.8665984320505</v>
      </c>
      <c r="I340" s="274">
        <f>'Resultater - Vestdanmark'!I340+'Resultater - Østdanmark'!I340</f>
        <v>5255.7943130732356</v>
      </c>
      <c r="J340" s="275">
        <f>'Resultater - Vestdanmark'!J340+'Resultater - Østdanmark'!J340</f>
        <v>5255.7943130732356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3">
        <f>'Resultater - Vestdanmark'!H341+'Resultater - Østdanmark'!H341</f>
        <v>462.03838922607775</v>
      </c>
      <c r="I341" s="274">
        <f>'Resultater - Vestdanmark'!I341+'Resultater - Østdanmark'!I341</f>
        <v>459.19696042786939</v>
      </c>
      <c r="J341" s="275">
        <f>'Resultater - Vestdanmark'!J341+'Resultater - Østdanmark'!J341</f>
        <v>459.19696042786939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3">
        <f>'Resultater - Vestdanmark'!H342+'Resultater - Østdanmark'!H342</f>
        <v>246.77701387759424</v>
      </c>
      <c r="I342" s="274">
        <f>'Resultater - Vestdanmark'!I342+'Resultater - Østdanmark'!I342</f>
        <v>245.25939254932717</v>
      </c>
      <c r="J342" s="275">
        <f>'Resultater - Vestdanmark'!J342+'Resultater - Østdanmark'!J342</f>
        <v>245.25939254932717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3">
        <f>'Resultater - Vestdanmark'!H343+'Resultater - Østdanmark'!H343</f>
        <v>-8625.7166819803479</v>
      </c>
      <c r="I343" s="274">
        <f>'Resultater - Vestdanmark'!I343+'Resultater - Østdanmark'!I343</f>
        <v>-8572.6705274683409</v>
      </c>
      <c r="J343" s="275">
        <f>'Resultater - Vestdanmark'!J343+'Resultater - Østdanmark'!J343</f>
        <v>-8572.6705274683409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3">
        <f>'Resultater - Vestdanmark'!H344+'Resultater - Østdanmark'!H344</f>
        <v>5584.7859804107484</v>
      </c>
      <c r="I344" s="274">
        <f>'Resultater - Vestdanmark'!I344+'Resultater - Østdanmark'!I344</f>
        <v>5550.4408435420364</v>
      </c>
      <c r="J344" s="275">
        <f>'Resultater - Vestdanmark'!J344+'Resultater - Østdanmark'!J344</f>
        <v>5550.4408435420364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3">
        <f>'Resultater - Vestdanmark'!H345+'Resultater - Østdanmark'!H345</f>
        <v>1241441.5414695307</v>
      </c>
      <c r="I345" s="274">
        <f>'Resultater - Vestdanmark'!I345+'Resultater - Østdanmark'!I345</f>
        <v>1241441.5414695307</v>
      </c>
      <c r="J345" s="275">
        <f>'Resultater - Vestdanmark'!J345+'Resultater - Østdanmark'!J345</f>
        <v>1241441.5414695307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3">
        <f>'Resultater - Vestdanmark'!H346+'Resultater - Østdanmark'!H346</f>
        <v>206239.95017814124</v>
      </c>
      <c r="I346" s="274">
        <f>'Resultater - Vestdanmark'!I346+'Resultater - Østdanmark'!I346</f>
        <v>206239.95017814124</v>
      </c>
      <c r="J346" s="275">
        <f>'Resultater - Vestdanmark'!J346+'Resultater - Østdanmark'!J346</f>
        <v>206239.95017814124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3">
        <f>'Resultater - Vestdanmark'!H347+'Resultater - Østdanmark'!H347</f>
        <v>-13032265.787648994</v>
      </c>
      <c r="I347" s="274">
        <f>'Resultater - Vestdanmark'!I347+'Resultater - Østdanmark'!I347</f>
        <v>-13032265.787648994</v>
      </c>
      <c r="J347" s="275">
        <f>'Resultater - Vestdanmark'!J347+'Resultater - Østdanmark'!J347</f>
        <v>-13032265.787648994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3">
        <f>'Resultater - Vestdanmark'!H348+'Resultater - Østdanmark'!H348</f>
        <v>197542.59544633992</v>
      </c>
      <c r="I348" s="274">
        <f>'Resultater - Vestdanmark'!I348+'Resultater - Østdanmark'!I348</f>
        <v>197542.59544633992</v>
      </c>
      <c r="J348" s="275">
        <f>'Resultater - Vestdanmark'!J348+'Resultater - Østdanmark'!J348</f>
        <v>197542.59544633992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3">
        <f>'Resultater - Vestdanmark'!H349+'Resultater - Østdanmark'!H349</f>
        <v>87728.525972100848</v>
      </c>
      <c r="I349" s="274">
        <f>'Resultater - Vestdanmark'!I349+'Resultater - Østdanmark'!I349</f>
        <v>87779.504903915193</v>
      </c>
      <c r="J349" s="275">
        <f>'Resultater - Vestdanmark'!J349+'Resultater - Østdanmark'!J349</f>
        <v>87779.504903915193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3">
        <f>'Resultater - Vestdanmark'!H350+'Resultater - Østdanmark'!H350</f>
        <v>14574.288213579908</v>
      </c>
      <c r="I350" s="274">
        <f>'Resultater - Vestdanmark'!I350+'Resultater - Østdanmark'!I350</f>
        <v>14582.757313417729</v>
      </c>
      <c r="J350" s="275">
        <f>'Resultater - Vestdanmark'!J350+'Resultater - Østdanmark'!J350</f>
        <v>14582.757313417729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3">
        <f>'Resultater - Vestdanmark'!H351+'Resultater - Østdanmark'!H351</f>
        <v>-690710.01096458826</v>
      </c>
      <c r="I351" s="274">
        <f>'Resultater - Vestdanmark'!I351+'Resultater - Østdanmark'!I351</f>
        <v>-691111.38164946262</v>
      </c>
      <c r="J351" s="275">
        <f>'Resultater - Vestdanmark'!J351+'Resultater - Østdanmark'!J351</f>
        <v>-691111.38164946262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3">
        <f>'Resultater - Vestdanmark'!H352+'Resultater - Østdanmark'!H352</f>
        <v>81819.432532653533</v>
      </c>
      <c r="I352" s="274">
        <f>'Resultater - Vestdanmark'!I352+'Resultater - Østdanmark'!I352</f>
        <v>81866.977697991155</v>
      </c>
      <c r="J352" s="275">
        <f>'Resultater - Vestdanmark'!J352+'Resultater - Østdanmark'!J352</f>
        <v>81866.977697991155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3">
        <f>'Resultater - Vestdanmark'!H353+'Resultater - Østdanmark'!H353</f>
        <v>76654.605084511393</v>
      </c>
      <c r="I353" s="274">
        <f>'Resultater - Vestdanmark'!I353+'Resultater - Østdanmark'!I353</f>
        <v>76474.945724774458</v>
      </c>
      <c r="J353" s="275">
        <f>'Resultater - Vestdanmark'!J353+'Resultater - Østdanmark'!J353</f>
        <v>76474.945724774458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3">
        <f>'Resultater - Vestdanmark'!H354+'Resultater - Østdanmark'!H354</f>
        <v>12734.584275986817</v>
      </c>
      <c r="I354" s="274">
        <f>'Resultater - Vestdanmark'!I354+'Resultater - Østdanmark'!I354</f>
        <v>12704.737572647635</v>
      </c>
      <c r="J354" s="275">
        <f>'Resultater - Vestdanmark'!J354+'Resultater - Østdanmark'!J354</f>
        <v>12704.737572647635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3">
        <f>'Resultater - Vestdanmark'!H355+'Resultater - Østdanmark'!H355</f>
        <v>-459826.35229782818</v>
      </c>
      <c r="I355" s="274">
        <f>'Resultater - Vestdanmark'!I355+'Resultater - Østdanmark'!I355</f>
        <v>-458748.63351037999</v>
      </c>
      <c r="J355" s="275">
        <f>'Resultater - Vestdanmark'!J355+'Resultater - Østdanmark'!J355</f>
        <v>-458748.63351037999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3">
        <f>'Resultater - Vestdanmark'!H356+'Resultater - Østdanmark'!H356</f>
        <v>156922.23534513626</v>
      </c>
      <c r="I356" s="274">
        <f>'Resultater - Vestdanmark'!I356+'Resultater - Østdanmark'!I356</f>
        <v>156554.44859182229</v>
      </c>
      <c r="J356" s="275">
        <f>'Resultater - Vestdanmark'!J356+'Resultater - Østdanmark'!J356</f>
        <v>156554.44859182229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3">
        <f>'Resultater - Vestdanmark'!H357+'Resultater - Østdanmark'!H357</f>
        <v>90477.579370643434</v>
      </c>
      <c r="I357" s="274">
        <f>'Resultater - Vestdanmark'!I357+'Resultater - Østdanmark'!I357</f>
        <v>90477.579370643434</v>
      </c>
      <c r="J357" s="275">
        <f>'Resultater - Vestdanmark'!J357+'Resultater - Østdanmark'!J357</f>
        <v>90477.579370643434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3">
        <f>'Resultater - Vestdanmark'!H358+'Resultater - Østdanmark'!H358</f>
        <v>15030.986831286333</v>
      </c>
      <c r="I358" s="274">
        <f>'Resultater - Vestdanmark'!I358+'Resultater - Østdanmark'!I358</f>
        <v>15030.986831286333</v>
      </c>
      <c r="J358" s="275">
        <f>'Resultater - Vestdanmark'!J358+'Resultater - Østdanmark'!J358</f>
        <v>15030.986831286333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3">
        <f>'Resultater - Vestdanmark'!H359+'Resultater - Østdanmark'!H359</f>
        <v>-949805.38574983133</v>
      </c>
      <c r="I359" s="274">
        <f>'Resultater - Vestdanmark'!I359+'Resultater - Østdanmark'!I359</f>
        <v>-949805.38574983133</v>
      </c>
      <c r="J359" s="275">
        <f>'Resultater - Vestdanmark'!J359+'Resultater - Østdanmark'!J359</f>
        <v>-949805.38574983133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3">
        <f>'Resultater - Vestdanmark'!H360+'Resultater - Østdanmark'!H360</f>
        <v>25258.095389318682</v>
      </c>
      <c r="I360" s="274">
        <f>'Resultater - Vestdanmark'!I360+'Resultater - Østdanmark'!I360</f>
        <v>25258.095389318682</v>
      </c>
      <c r="J360" s="275">
        <f>'Resultater - Vestdanmark'!J360+'Resultater - Østdanmark'!J360</f>
        <v>25258.095389318682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3">
        <f>'Resultater - Vestdanmark'!H361+'Resultater - Østdanmark'!H361</f>
        <v>6393.7482407061234</v>
      </c>
      <c r="I361" s="274">
        <f>'Resultater - Vestdanmark'!I361+'Resultater - Østdanmark'!I361</f>
        <v>6397.4636394545842</v>
      </c>
      <c r="J361" s="275">
        <f>'Resultater - Vestdanmark'!J361+'Resultater - Østdanmark'!J361</f>
        <v>6397.4636394545842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3">
        <f>'Resultater - Vestdanmark'!H362+'Resultater - Østdanmark'!H362</f>
        <v>1062.1896195401109</v>
      </c>
      <c r="I362" s="274">
        <f>'Resultater - Vestdanmark'!I362+'Resultater - Østdanmark'!I362</f>
        <v>1062.806856540145</v>
      </c>
      <c r="J362" s="275">
        <f>'Resultater - Vestdanmark'!J362+'Resultater - Østdanmark'!J362</f>
        <v>1062.806856540145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3">
        <f>'Resultater - Vestdanmark'!H363+'Resultater - Østdanmark'!H363</f>
        <v>-50339.679921755182</v>
      </c>
      <c r="I363" s="274">
        <f>'Resultater - Vestdanmark'!I363+'Resultater - Østdanmark'!I363</f>
        <v>-50368.932243982759</v>
      </c>
      <c r="J363" s="275">
        <f>'Resultater - Vestdanmark'!J363+'Resultater - Østdanmark'!J363</f>
        <v>-50368.932243982759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3">
        <f>'Resultater - Vestdanmark'!H364+'Resultater - Østdanmark'!H364</f>
        <v>10461.556541465279</v>
      </c>
      <c r="I364" s="274">
        <f>'Resultater - Vestdanmark'!I364+'Resultater - Østdanmark'!I364</f>
        <v>10467.635738302222</v>
      </c>
      <c r="J364" s="275">
        <f>'Resultater - Vestdanmark'!J364+'Resultater - Østdanmark'!J364</f>
        <v>10467.635738302222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3">
        <f>'Resultater - Vestdanmark'!H365+'Resultater - Østdanmark'!H365</f>
        <v>5586.669113270872</v>
      </c>
      <c r="I365" s="274">
        <f>'Resultater - Vestdanmark'!I365+'Resultater - Østdanmark'!I365</f>
        <v>5573.5753481298771</v>
      </c>
      <c r="J365" s="275">
        <f>'Resultater - Vestdanmark'!J365+'Resultater - Østdanmark'!J365</f>
        <v>5573.5753481298771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3">
        <f>'Resultater - Vestdanmark'!H366+'Resultater - Østdanmark'!H366</f>
        <v>928.11004070224612</v>
      </c>
      <c r="I366" s="274">
        <f>'Resultater - Vestdanmark'!I366+'Resultater - Østdanmark'!I366</f>
        <v>925.9347812316098</v>
      </c>
      <c r="J366" s="275">
        <f>'Resultater - Vestdanmark'!J366+'Resultater - Østdanmark'!J366</f>
        <v>925.9347812316098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3">
        <f>'Resultater - Vestdanmark'!H367+'Resultater - Østdanmark'!H367</f>
        <v>-33512.633416062716</v>
      </c>
      <c r="I367" s="274">
        <f>'Resultater - Vestdanmark'!I367+'Resultater - Østdanmark'!I367</f>
        <v>-33434.088125065646</v>
      </c>
      <c r="J367" s="275">
        <f>'Resultater - Vestdanmark'!J367+'Resultater - Østdanmark'!J367</f>
        <v>-33434.088125065646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3">
        <f>'Resultater - Vestdanmark'!H368+'Resultater - Østdanmark'!H368</f>
        <v>20064.314636026029</v>
      </c>
      <c r="I368" s="274">
        <f>'Resultater - Vestdanmark'!I368+'Resultater - Østdanmark'!I368</f>
        <v>20017.288864813789</v>
      </c>
      <c r="J368" s="275">
        <f>'Resultater - Vestdanmark'!J368+'Resultater - Østdanmark'!J368</f>
        <v>20017.288864813789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3">
        <f>'Resultater - Vestdanmark'!H369+'Resultater - Østdanmark'!H369</f>
        <v>804386.70310434792</v>
      </c>
      <c r="I369" s="274">
        <f>'Resultater - Vestdanmark'!I369+'Resultater - Østdanmark'!I369</f>
        <v>804386.70310434792</v>
      </c>
      <c r="J369" s="275">
        <f>'Resultater - Vestdanmark'!J369+'Resultater - Østdanmark'!J369</f>
        <v>804386.70310434792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3">
        <f>'Resultater - Vestdanmark'!H370+'Resultater - Østdanmark'!H370</f>
        <v>-1769650.7468295656</v>
      </c>
      <c r="I370" s="274">
        <f>'Resultater - Vestdanmark'!I370+'Resultater - Østdanmark'!I370</f>
        <v>-1769650.7468295656</v>
      </c>
      <c r="J370" s="275">
        <f>'Resultater - Vestdanmark'!J370+'Resultater - Østdanmark'!J370</f>
        <v>-1769650.7468295656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3">
        <f>'Resultater - Vestdanmark'!H371+'Resultater - Østdanmark'!H371</f>
        <v>31623.568231448324</v>
      </c>
      <c r="I371" s="274">
        <f>'Resultater - Vestdanmark'!I371+'Resultater - Østdanmark'!I371</f>
        <v>31623.568231448324</v>
      </c>
      <c r="J371" s="275">
        <f>'Resultater - Vestdanmark'!J371+'Resultater - Østdanmark'!J371</f>
        <v>31623.568231448324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3">
        <f>'Resultater - Vestdanmark'!H372+'Resultater - Østdanmark'!H372</f>
        <v>27393.452669089784</v>
      </c>
      <c r="I372" s="274">
        <f>'Resultater - Vestdanmark'!I372+'Resultater - Østdanmark'!I372</f>
        <v>27398.844907118073</v>
      </c>
      <c r="J372" s="275">
        <f>'Resultater - Vestdanmark'!J372+'Resultater - Østdanmark'!J372</f>
        <v>27398.844907118073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3">
        <f>'Resultater - Vestdanmark'!H373+'Resultater - Østdanmark'!H373</f>
        <v>-45655.75444848297</v>
      </c>
      <c r="I373" s="274">
        <f>'Resultater - Vestdanmark'!I373+'Resultater - Østdanmark'!I373</f>
        <v>-45664.741511863453</v>
      </c>
      <c r="J373" s="275">
        <f>'Resultater - Vestdanmark'!J373+'Resultater - Østdanmark'!J373</f>
        <v>-45664.741511863453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3">
        <f>'Resultater - Vestdanmark'!H374+'Resultater - Østdanmark'!H374</f>
        <v>4867.6770004669015</v>
      </c>
      <c r="I374" s="274">
        <f>'Resultater - Vestdanmark'!I374+'Resultater - Østdanmark'!I374</f>
        <v>4868.635173697141</v>
      </c>
      <c r="J374" s="275">
        <f>'Resultater - Vestdanmark'!J374+'Resultater - Østdanmark'!J374</f>
        <v>4868.635173697141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3">
        <f>'Resultater - Vestdanmark'!H375+'Resultater - Østdanmark'!H375</f>
        <v>18360.165184548681</v>
      </c>
      <c r="I375" s="274">
        <f>'Resultater - Vestdanmark'!I375+'Resultater - Østdanmark'!I375</f>
        <v>18191.137458332181</v>
      </c>
      <c r="J375" s="275">
        <f>'Resultater - Vestdanmark'!J375+'Resultater - Østdanmark'!J375</f>
        <v>18191.137458332181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3">
        <f>'Resultater - Vestdanmark'!H376+'Resultater - Østdanmark'!H376</f>
        <v>-23605.926665848303</v>
      </c>
      <c r="I376" s="274">
        <f>'Resultater - Vestdanmark'!I376+'Resultater - Østdanmark'!I376</f>
        <v>-23388.605303569948</v>
      </c>
      <c r="J376" s="275">
        <f>'Resultater - Vestdanmark'!J376+'Resultater - Østdanmark'!J376</f>
        <v>-23388.605303569948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3">
        <f>'Resultater - Vestdanmark'!H377+'Resultater - Østdanmark'!H377</f>
        <v>7475.6545232364842</v>
      </c>
      <c r="I377" s="274">
        <f>'Resultater - Vestdanmark'!I377+'Resultater - Østdanmark'!I377</f>
        <v>7406.8320004900033</v>
      </c>
      <c r="J377" s="275">
        <f>'Resultater - Vestdanmark'!J377+'Resultater - Østdanmark'!J377</f>
        <v>7406.8320004900033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3">
        <f>'Resultater - Vestdanmark'!H378+'Resultater - Østdanmark'!H378</f>
        <v>58624.558099339294</v>
      </c>
      <c r="I378" s="274">
        <f>'Resultater - Vestdanmark'!I378+'Resultater - Østdanmark'!I378</f>
        <v>58624.558099339294</v>
      </c>
      <c r="J378" s="275">
        <f>'Resultater - Vestdanmark'!J378+'Resultater - Østdanmark'!J378</f>
        <v>58624.558099339294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3">
        <f>'Resultater - Vestdanmark'!H379+'Resultater - Østdanmark'!H379</f>
        <v>-128974.02781854646</v>
      </c>
      <c r="I379" s="274">
        <f>'Resultater - Vestdanmark'!I379+'Resultater - Østdanmark'!I379</f>
        <v>-128974.02781854646</v>
      </c>
      <c r="J379" s="275">
        <f>'Resultater - Vestdanmark'!J379+'Resultater - Østdanmark'!J379</f>
        <v>-128974.02781854646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3">
        <f>'Resultater - Vestdanmark'!H380+'Resultater - Østdanmark'!H380</f>
        <v>4043.4373211296634</v>
      </c>
      <c r="I380" s="274">
        <f>'Resultater - Vestdanmark'!I380+'Resultater - Østdanmark'!I380</f>
        <v>4043.4373211296634</v>
      </c>
      <c r="J380" s="275">
        <f>'Resultater - Vestdanmark'!J380+'Resultater - Østdanmark'!J380</f>
        <v>4043.4373211296634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3">
        <f>'Resultater - Vestdanmark'!H381+'Resultater - Østdanmark'!H381</f>
        <v>1996.4639536467182</v>
      </c>
      <c r="I381" s="274">
        <f>'Resultater - Vestdanmark'!I381+'Resultater - Østdanmark'!I381</f>
        <v>1996.8569456869336</v>
      </c>
      <c r="J381" s="275">
        <f>'Resultater - Vestdanmark'!J381+'Resultater - Østdanmark'!J381</f>
        <v>1996.8569456869336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3">
        <f>'Resultater - Vestdanmark'!H382+'Resultater - Østdanmark'!H382</f>
        <v>-3327.4399227445301</v>
      </c>
      <c r="I382" s="274">
        <f>'Resultater - Vestdanmark'!I382+'Resultater - Østdanmark'!I382</f>
        <v>-3328.0949094782227</v>
      </c>
      <c r="J382" s="275">
        <f>'Resultater - Vestdanmark'!J382+'Resultater - Østdanmark'!J382</f>
        <v>-3328.0949094782227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3">
        <f>'Resultater - Vestdanmark'!H383+'Resultater - Østdanmark'!H383</f>
        <v>622.38855232406365</v>
      </c>
      <c r="I383" s="274">
        <f>'Resultater - Vestdanmark'!I383+'Resultater - Østdanmark'!I383</f>
        <v>622.51106580422822</v>
      </c>
      <c r="J383" s="275">
        <f>'Resultater - Vestdanmark'!J383+'Resultater - Østdanmark'!J383</f>
        <v>622.51106580422822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3">
        <f>'Resultater - Vestdanmark'!H384+'Resultater - Østdanmark'!H384</f>
        <v>1338.1083581082171</v>
      </c>
      <c r="I384" s="274">
        <f>'Resultater - Vestdanmark'!I384+'Resultater - Østdanmark'!I384</f>
        <v>1325.7894377211246</v>
      </c>
      <c r="J384" s="275">
        <f>'Resultater - Vestdanmark'!J384+'Resultater - Østdanmark'!J384</f>
        <v>1325.7894377211246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3">
        <f>'Resultater - Vestdanmark'!H385+'Resultater - Østdanmark'!H385</f>
        <v>-1720.4250318534218</v>
      </c>
      <c r="I385" s="274">
        <f>'Resultater - Vestdanmark'!I385+'Resultater - Østdanmark'!I385</f>
        <v>-1704.58641992716</v>
      </c>
      <c r="J385" s="275">
        <f>'Resultater - Vestdanmark'!J385+'Resultater - Østdanmark'!J385</f>
        <v>-1704.58641992716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3">
        <f>'Resultater - Vestdanmark'!H386+'Resultater - Østdanmark'!H386</f>
        <v>955.84850760346353</v>
      </c>
      <c r="I386" s="274">
        <f>'Resultater - Vestdanmark'!I386+'Resultater - Østdanmark'!I386</f>
        <v>947.04875562826828</v>
      </c>
      <c r="J386" s="275">
        <f>'Resultater - Vestdanmark'!J386+'Resultater - Østdanmark'!J386</f>
        <v>947.04875562826828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3">
        <f>'Resultater - Vestdanmark'!H387+'Resultater - Østdanmark'!H387</f>
        <v>151198.05286083202</v>
      </c>
      <c r="I387" s="274">
        <f>'Resultater - Vestdanmark'!I387+'Resultater - Østdanmark'!I387</f>
        <v>151198.05286083202</v>
      </c>
      <c r="J387" s="275">
        <f>'Resultater - Vestdanmark'!J387+'Resultater - Østdanmark'!J387</f>
        <v>151198.05286083202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3">
        <f>'Resultater - Vestdanmark'!H388+'Resultater - Østdanmark'!H388</f>
        <v>-743894.42007529351</v>
      </c>
      <c r="I388" s="274">
        <f>'Resultater - Vestdanmark'!I388+'Resultater - Østdanmark'!I388</f>
        <v>-743894.42007529351</v>
      </c>
      <c r="J388" s="275">
        <f>'Resultater - Vestdanmark'!J388+'Resultater - Østdanmark'!J388</f>
        <v>-743894.42007529351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3">
        <f>'Resultater - Vestdanmark'!H389+'Resultater - Østdanmark'!H389</f>
        <v>12185.575596215564</v>
      </c>
      <c r="I389" s="274">
        <f>'Resultater - Vestdanmark'!I389+'Resultater - Østdanmark'!I389</f>
        <v>12185.575596215564</v>
      </c>
      <c r="J389" s="275">
        <f>'Resultater - Vestdanmark'!J389+'Resultater - Østdanmark'!J389</f>
        <v>12185.575596215564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3">
        <f>'Resultater - Vestdanmark'!H390+'Resultater - Østdanmark'!H390</f>
        <v>22604.883417166257</v>
      </c>
      <c r="I390" s="274">
        <f>'Resultater - Vestdanmark'!I390+'Resultater - Østdanmark'!I390</f>
        <v>22610.466023528443</v>
      </c>
      <c r="J390" s="275">
        <f>'Resultater - Vestdanmark'!J390+'Resultater - Østdanmark'!J390</f>
        <v>22610.466023528443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3">
        <f>'Resultater - Vestdanmark'!H391+'Resultater - Østdanmark'!H391</f>
        <v>-92680.022010381668</v>
      </c>
      <c r="I391" s="274">
        <f>'Resultater - Vestdanmark'!I391+'Resultater - Østdanmark'!I391</f>
        <v>-92702.910696466628</v>
      </c>
      <c r="J391" s="275">
        <f>'Resultater - Vestdanmark'!J391+'Resultater - Østdanmark'!J391</f>
        <v>-92702.910696466628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3">
        <f>'Resultater - Vestdanmark'!H392+'Resultater - Østdanmark'!H392</f>
        <v>8234.3839053876236</v>
      </c>
      <c r="I392" s="274">
        <f>'Resultater - Vestdanmark'!I392+'Resultater - Østdanmark'!I392</f>
        <v>8236.4175068502173</v>
      </c>
      <c r="J392" s="275">
        <f>'Resultater - Vestdanmark'!J392+'Resultater - Østdanmark'!J392</f>
        <v>8236.4175068502173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3">
        <f>'Resultater - Vestdanmark'!H393+'Resultater - Østdanmark'!H393</f>
        <v>21807.878272481728</v>
      </c>
      <c r="I393" s="274">
        <f>'Resultater - Vestdanmark'!I393+'Resultater - Østdanmark'!I393</f>
        <v>21626.823341971947</v>
      </c>
      <c r="J393" s="275">
        <f>'Resultater - Vestdanmark'!J393+'Resultater - Østdanmark'!J393</f>
        <v>21626.823341971947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3">
        <f>'Resultater - Vestdanmark'!H394+'Resultater - Østdanmark'!H394</f>
        <v>-76639.115071864377</v>
      </c>
      <c r="I394" s="274">
        <f>'Resultater - Vestdanmark'!I394+'Resultater - Østdanmark'!I394</f>
        <v>-76002.836316072848</v>
      </c>
      <c r="J394" s="275">
        <f>'Resultater - Vestdanmark'!J394+'Resultater - Østdanmark'!J394</f>
        <v>-76002.836316072848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3">
        <f>'Resultater - Vestdanmark'!H395+'Resultater - Østdanmark'!H395</f>
        <v>18202.871953106896</v>
      </c>
      <c r="I395" s="274">
        <f>'Resultater - Vestdanmark'!I395+'Resultater - Østdanmark'!I395</f>
        <v>18051.746764522777</v>
      </c>
      <c r="J395" s="275">
        <f>'Resultater - Vestdanmark'!J395+'Resultater - Østdanmark'!J395</f>
        <v>18051.746764522777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3">
        <f>'Resultater - Vestdanmark'!H396+'Resultater - Østdanmark'!H396</f>
        <v>11019.474837461308</v>
      </c>
      <c r="I396" s="274">
        <f>'Resultater - Vestdanmark'!I396+'Resultater - Østdanmark'!I396</f>
        <v>11019.474837461308</v>
      </c>
      <c r="J396" s="275">
        <f>'Resultater - Vestdanmark'!J396+'Resultater - Østdanmark'!J396</f>
        <v>11019.474837461308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3">
        <f>'Resultater - Vestdanmark'!H397+'Resultater - Østdanmark'!H397</f>
        <v>-54215.816200309637</v>
      </c>
      <c r="I397" s="274">
        <f>'Resultater - Vestdanmark'!I397+'Resultater - Østdanmark'!I397</f>
        <v>-54215.816200309637</v>
      </c>
      <c r="J397" s="275">
        <f>'Resultater - Vestdanmark'!J397+'Resultater - Østdanmark'!J397</f>
        <v>-54215.816200309637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3">
        <f>'Resultater - Vestdanmark'!H398+'Resultater - Østdanmark'!H398</f>
        <v>1558.0661481516906</v>
      </c>
      <c r="I398" s="274">
        <f>'Resultater - Vestdanmark'!I398+'Resultater - Østdanmark'!I398</f>
        <v>1558.0661481516906</v>
      </c>
      <c r="J398" s="275">
        <f>'Resultater - Vestdanmark'!J398+'Resultater - Østdanmark'!J398</f>
        <v>1558.0661481516906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3">
        <f>'Resultater - Vestdanmark'!H399+'Resultater - Østdanmark'!H399</f>
        <v>1647.4679356385941</v>
      </c>
      <c r="I399" s="274">
        <f>'Resultater - Vestdanmark'!I399+'Resultater - Østdanmark'!I399</f>
        <v>1647.8748019253724</v>
      </c>
      <c r="J399" s="275">
        <f>'Resultater - Vestdanmark'!J399+'Resultater - Østdanmark'!J399</f>
        <v>1647.8748019253724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3">
        <f>'Resultater - Vestdanmark'!H400+'Resultater - Østdanmark'!H400</f>
        <v>-6754.6185361182361</v>
      </c>
      <c r="I400" s="274">
        <f>'Resultater - Vestdanmark'!I400+'Resultater - Østdanmark'!I400</f>
        <v>-6756.2866878940267</v>
      </c>
      <c r="J400" s="275">
        <f>'Resultater - Vestdanmark'!J400+'Resultater - Østdanmark'!J400</f>
        <v>-6756.2866878940267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3">
        <f>'Resultater - Vestdanmark'!H401+'Resultater - Østdanmark'!H401</f>
        <v>1052.8607953369108</v>
      </c>
      <c r="I401" s="274">
        <f>'Resultater - Vestdanmark'!I401+'Resultater - Østdanmark'!I401</f>
        <v>1053.1208146993679</v>
      </c>
      <c r="J401" s="275">
        <f>'Resultater - Vestdanmark'!J401+'Resultater - Østdanmark'!J401</f>
        <v>1053.1208146993679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3">
        <f>'Resultater - Vestdanmark'!H402+'Resultater - Østdanmark'!H402</f>
        <v>1589.3813533645339</v>
      </c>
      <c r="I402" s="274">
        <f>'Resultater - Vestdanmark'!I402+'Resultater - Østdanmark'!I402</f>
        <v>1576.1858775419237</v>
      </c>
      <c r="J402" s="275">
        <f>'Resultater - Vestdanmark'!J402+'Resultater - Østdanmark'!J402</f>
        <v>1576.1858775419237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3">
        <f>'Resultater - Vestdanmark'!H403+'Resultater - Østdanmark'!H403</f>
        <v>-5585.5401846810773</v>
      </c>
      <c r="I403" s="274">
        <f>'Resultater - Vestdanmark'!I403+'Resultater - Østdanmark'!I403</f>
        <v>-5539.1675125044767</v>
      </c>
      <c r="J403" s="275">
        <f>'Resultater - Vestdanmark'!J403+'Resultater - Østdanmark'!J403</f>
        <v>-5539.1675125044767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3">
        <f>'Resultater - Vestdanmark'!H404+'Resultater - Østdanmark'!H404</f>
        <v>2327.4467722381351</v>
      </c>
      <c r="I404" s="274">
        <f>'Resultater - Vestdanmark'!I404+'Resultater - Østdanmark'!I404</f>
        <v>2308.1236767793471</v>
      </c>
      <c r="J404" s="275">
        <f>'Resultater - Vestdanmark'!J404+'Resultater - Østdanmark'!J404</f>
        <v>2308.1236767793471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3">
        <f>'Resultater - Vestdanmark'!H405+'Resultater - Østdanmark'!H405</f>
        <v>2074307.374215838</v>
      </c>
      <c r="I405" s="274">
        <f>'Resultater - Vestdanmark'!I405+'Resultater - Østdanmark'!I405</f>
        <v>2074307.374215838</v>
      </c>
      <c r="J405" s="275">
        <f>'Resultater - Vestdanmark'!J405+'Resultater - Østdanmark'!J405</f>
        <v>2074307.374215838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3">
        <f>'Resultater - Vestdanmark'!H406+'Resultater - Østdanmark'!H406</f>
        <v>-7521056.4692379907</v>
      </c>
      <c r="I406" s="274">
        <f>'Resultater - Vestdanmark'!I406+'Resultater - Østdanmark'!I406</f>
        <v>-7521056.4692379907</v>
      </c>
      <c r="J406" s="275">
        <f>'Resultater - Vestdanmark'!J406+'Resultater - Østdanmark'!J406</f>
        <v>-7521056.4692379907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3">
        <f>'Resultater - Vestdanmark'!H407+'Resultater - Østdanmark'!H407</f>
        <v>295681.96678242408</v>
      </c>
      <c r="I407" s="274">
        <f>'Resultater - Vestdanmark'!I407+'Resultater - Østdanmark'!I407</f>
        <v>295681.96678242408</v>
      </c>
      <c r="J407" s="275">
        <f>'Resultater - Vestdanmark'!J407+'Resultater - Østdanmark'!J407</f>
        <v>295681.96678242408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3">
        <f>'Resultater - Vestdanmark'!H408+'Resultater - Østdanmark'!H408</f>
        <v>362795.13500095531</v>
      </c>
      <c r="I408" s="274">
        <f>'Resultater - Vestdanmark'!I408+'Resultater - Østdanmark'!I408</f>
        <v>362514.52371130179</v>
      </c>
      <c r="J408" s="275">
        <f>'Resultater - Vestdanmark'!J408+'Resultater - Østdanmark'!J408</f>
        <v>362514.52371130179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3">
        <f>'Resultater - Vestdanmark'!H409+'Resultater - Østdanmark'!H409</f>
        <v>-1096190.2797950064</v>
      </c>
      <c r="I409" s="274">
        <f>'Resultater - Vestdanmark'!I409+'Resultater - Østdanmark'!I409</f>
        <v>-1095342.409086602</v>
      </c>
      <c r="J409" s="275">
        <f>'Resultater - Vestdanmark'!J409+'Resultater - Østdanmark'!J409</f>
        <v>-1095342.409086602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3">
        <f>'Resultater - Vestdanmark'!H410+'Resultater - Østdanmark'!H410</f>
        <v>233744.91463565463</v>
      </c>
      <c r="I410" s="274">
        <f>'Resultater - Vestdanmark'!I410+'Resultater - Østdanmark'!I410</f>
        <v>233564.11986853162</v>
      </c>
      <c r="J410" s="275">
        <f>'Resultater - Vestdanmark'!J410+'Resultater - Østdanmark'!J410</f>
        <v>233564.11986853162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3">
        <f>'Resultater - Vestdanmark'!H411+'Resultater - Østdanmark'!H411</f>
        <v>458081.74348965334</v>
      </c>
      <c r="I411" s="274">
        <f>'Resultater - Vestdanmark'!I411+'Resultater - Østdanmark'!I411</f>
        <v>448484.5947129167</v>
      </c>
      <c r="J411" s="275">
        <f>'Resultater - Vestdanmark'!J411+'Resultater - Østdanmark'!J411</f>
        <v>448484.5947129167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3">
        <f>'Resultater - Vestdanmark'!H412+'Resultater - Østdanmark'!H412</f>
        <v>-1186371.4479686453</v>
      </c>
      <c r="I412" s="274">
        <f>'Resultater - Vestdanmark'!I412+'Resultater - Østdanmark'!I412</f>
        <v>-1161516.0952888136</v>
      </c>
      <c r="J412" s="275">
        <f>'Resultater - Vestdanmark'!J412+'Resultater - Østdanmark'!J412</f>
        <v>-1161516.0952888136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3">
        <f>'Resultater - Vestdanmark'!H413+'Resultater - Østdanmark'!H413</f>
        <v>676271.92832627031</v>
      </c>
      <c r="I413" s="274">
        <f>'Resultater - Vestdanmark'!I413+'Resultater - Østdanmark'!I413</f>
        <v>662103.53501673776</v>
      </c>
      <c r="J413" s="275">
        <f>'Resultater - Vestdanmark'!J413+'Resultater - Østdanmark'!J413</f>
        <v>662103.53501673776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3">
        <f>'Resultater - Vestdanmark'!H414+'Resultater - Østdanmark'!H414</f>
        <v>265224.08195726445</v>
      </c>
      <c r="I414" s="274">
        <f>'Resultater - Vestdanmark'!I414+'Resultater - Østdanmark'!I414</f>
        <v>265224.08195726445</v>
      </c>
      <c r="J414" s="275">
        <f>'Resultater - Vestdanmark'!J414+'Resultater - Østdanmark'!J414</f>
        <v>265224.08195726445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3">
        <f>'Resultater - Vestdanmark'!H415+'Resultater - Østdanmark'!H415</f>
        <v>-961653.66917064704</v>
      </c>
      <c r="I415" s="274">
        <f>'Resultater - Vestdanmark'!I415+'Resultater - Østdanmark'!I415</f>
        <v>-961653.66917064704</v>
      </c>
      <c r="J415" s="275">
        <f>'Resultater - Vestdanmark'!J415+'Resultater - Østdanmark'!J415</f>
        <v>-961653.66917064704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3">
        <f>'Resultater - Vestdanmark'!H416+'Resultater - Østdanmark'!H416</f>
        <v>37806.344019209348</v>
      </c>
      <c r="I416" s="274">
        <f>'Resultater - Vestdanmark'!I416+'Resultater - Østdanmark'!I416</f>
        <v>37806.344019209348</v>
      </c>
      <c r="J416" s="275">
        <f>'Resultater - Vestdanmark'!J416+'Resultater - Østdanmark'!J416</f>
        <v>37806.344019209348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3">
        <f>'Resultater - Vestdanmark'!H417+'Resultater - Østdanmark'!H417</f>
        <v>46387.535336013323</v>
      </c>
      <c r="I417" s="274">
        <f>'Resultater - Vestdanmark'!I417+'Resultater - Østdanmark'!I417</f>
        <v>46351.6559515931</v>
      </c>
      <c r="J417" s="275">
        <f>'Resultater - Vestdanmark'!J417+'Resultater - Østdanmark'!J417</f>
        <v>46351.6559515931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3">
        <f>'Resultater - Vestdanmark'!H418+'Resultater - Østdanmark'!H418</f>
        <v>-140160.5491177584</v>
      </c>
      <c r="I418" s="274">
        <f>'Resultater - Vestdanmark'!I418+'Resultater - Østdanmark'!I418</f>
        <v>-140052.13908506496</v>
      </c>
      <c r="J418" s="275">
        <f>'Resultater - Vestdanmark'!J418+'Resultater - Østdanmark'!J418</f>
        <v>-140052.13908506496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3">
        <f>'Resultater - Vestdanmark'!H419+'Resultater - Østdanmark'!H419</f>
        <v>29886.978741449482</v>
      </c>
      <c r="I419" s="274">
        <f>'Resultater - Vestdanmark'!I419+'Resultater - Østdanmark'!I419</f>
        <v>29863.862048750547</v>
      </c>
      <c r="J419" s="275">
        <f>'Resultater - Vestdanmark'!J419+'Resultater - Østdanmark'!J419</f>
        <v>29863.862048750547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3">
        <f>'Resultater - Vestdanmark'!H420+'Resultater - Østdanmark'!H420</f>
        <v>58571.025388344671</v>
      </c>
      <c r="I420" s="274">
        <f>'Resultater - Vestdanmark'!I420+'Resultater - Østdanmark'!I420</f>
        <v>57343.91941294432</v>
      </c>
      <c r="J420" s="275">
        <f>'Resultater - Vestdanmark'!J420+'Resultater - Østdanmark'!J420</f>
        <v>57343.91941294432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3">
        <f>'Resultater - Vestdanmark'!H421+'Resultater - Østdanmark'!H421</f>
        <v>-151691.24984032079</v>
      </c>
      <c r="I421" s="274">
        <f>'Resultater - Vestdanmark'!I421+'Resultater - Østdanmark'!I421</f>
        <v>-148513.2068086199</v>
      </c>
      <c r="J421" s="275">
        <f>'Resultater - Vestdanmark'!J421+'Resultater - Østdanmark'!J421</f>
        <v>-148513.2068086199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3">
        <f>'Resultater - Vestdanmark'!H422+'Resultater - Østdanmark'!H422</f>
        <v>86469.152823414028</v>
      </c>
      <c r="I422" s="274">
        <f>'Resultater - Vestdanmark'!I422+'Resultater - Østdanmark'!I422</f>
        <v>84657.560599888937</v>
      </c>
      <c r="J422" s="275">
        <f>'Resultater - Vestdanmark'!J422+'Resultater - Østdanmark'!J422</f>
        <v>84657.560599888937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3">
        <f ca="1">'Resultater - Vestdanmark'!H423+'Resultater - Østdanmark'!H423</f>
        <v>827707.93518034508</v>
      </c>
      <c r="I423" s="274">
        <f ca="1">'Resultater - Vestdanmark'!I423+'Resultater - Østdanmark'!I423</f>
        <v>784269.80264680018</v>
      </c>
      <c r="J423" s="275">
        <f ca="1">'Resultater - Vestdanmark'!J423+'Resultater - Østdanmark'!J423</f>
        <v>728915.06176987442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3">
        <f ca="1">'Resultater - Vestdanmark'!H424+'Resultater - Østdanmark'!H424</f>
        <v>896683.59644537373</v>
      </c>
      <c r="I424" s="274">
        <f ca="1">'Resultater - Vestdanmark'!I424+'Resultater - Østdanmark'!I424</f>
        <v>849625.61953403347</v>
      </c>
      <c r="J424" s="275">
        <f ca="1">'Resultater - Vestdanmark'!J424+'Resultater - Østdanmark'!J424</f>
        <v>789657.98358403053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3">
        <f ca="1">'Resultater - Vestdanmark'!H425+'Resultater - Østdanmark'!H425</f>
        <v>-606450.26032409817</v>
      </c>
      <c r="I425" s="274">
        <f ca="1">'Resultater - Vestdanmark'!I425+'Resultater - Østdanmark'!I425</f>
        <v>-580115.61237312481</v>
      </c>
      <c r="J425" s="275">
        <f ca="1">'Resultater - Vestdanmark'!J425+'Resultater - Østdanmark'!J425</f>
        <v>-647003.80813336861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3">
        <f>'Resultater - Vestdanmark'!H426+'Resultater - Østdanmark'!H426</f>
        <v>3383628.2</v>
      </c>
      <c r="I426" s="274">
        <f>'Resultater - Vestdanmark'!I426+'Resultater - Østdanmark'!I426</f>
        <v>3383628.2</v>
      </c>
      <c r="J426" s="275">
        <f>'Resultater - Vestdanmark'!J426+'Resultater - Østdanmark'!J426</f>
        <v>3383628.2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3">
        <f>'Resultater - Vestdanmark'!H427+'Resultater - Østdanmark'!H427</f>
        <v>131725</v>
      </c>
      <c r="I427" s="274">
        <f>'Resultater - Vestdanmark'!I427+'Resultater - Østdanmark'!I427</f>
        <v>131725.00000000003</v>
      </c>
      <c r="J427" s="275">
        <f>'Resultater - Vestdanmark'!J427+'Resultater - Østdanmark'!J427</f>
        <v>131725.00000000003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3">
        <f>'Resultater - Vestdanmark'!H428+'Resultater - Østdanmark'!H428</f>
        <v>17308.665000000001</v>
      </c>
      <c r="I428" s="274">
        <f>'Resultater - Vestdanmark'!I428+'Resultater - Østdanmark'!I428</f>
        <v>17308.665000000001</v>
      </c>
      <c r="J428" s="275">
        <f>'Resultater - Vestdanmark'!J428+'Resultater - Østdanmark'!J428</f>
        <v>17308.665000000001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3">
        <f>'Resultater - Vestdanmark'!H429+'Resultater - Østdanmark'!H429</f>
        <v>1753646.8000000003</v>
      </c>
      <c r="I429" s="274">
        <f>'Resultater - Vestdanmark'!I429+'Resultater - Østdanmark'!I429</f>
        <v>1753646.8000000005</v>
      </c>
      <c r="J429" s="275">
        <f>'Resultater - Vestdanmark'!J429+'Resultater - Østdanmark'!J429</f>
        <v>1753646.8000000005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3">
        <f>'Resultater - Vestdanmark'!H430+'Resultater - Østdanmark'!H430</f>
        <v>1601127.6966659406</v>
      </c>
      <c r="I430" s="274">
        <f>'Resultater - Vestdanmark'!I430+'Resultater - Østdanmark'!I430</f>
        <v>1601127.6966659406</v>
      </c>
      <c r="J430" s="275">
        <f>'Resultater - Vestdanmark'!J430+'Resultater - Østdanmark'!J430</f>
        <v>1601127.6966659406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3">
        <f>'Resultater - Vestdanmark'!H431+'Resultater - Østdanmark'!H431</f>
        <v>22728.326432774025</v>
      </c>
      <c r="I431" s="274">
        <f>'Resultater - Vestdanmark'!I431+'Resultater - Østdanmark'!I431</f>
        <v>30675.092612769666</v>
      </c>
      <c r="J431" s="275">
        <f>'Resultater - Vestdanmark'!J431+'Resultater - Østdanmark'!J431</f>
        <v>30675.092612769666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3">
        <f>'Resultater - Vestdanmark'!H432+'Resultater - Østdanmark'!H432</f>
        <v>142794.72651993899</v>
      </c>
      <c r="I432" s="274">
        <f>'Resultater - Vestdanmark'!I432+'Resultater - Østdanmark'!I432</f>
        <v>142794.72651993899</v>
      </c>
      <c r="J432" s="275">
        <f>'Resultater - Vestdanmark'!J432+'Resultater - Østdanmark'!J432</f>
        <v>142794.72651993899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3">
        <f>'Resultater - Vestdanmark'!H433+'Resultater - Østdanmark'!H433</f>
        <v>140895.61996077577</v>
      </c>
      <c r="I433" s="274">
        <f>'Resultater - Vestdanmark'!I433+'Resultater - Østdanmark'!I433</f>
        <v>140895.61996077577</v>
      </c>
      <c r="J433" s="275">
        <f>'Resultater - Vestdanmark'!J433+'Resultater - Østdanmark'!J433</f>
        <v>140895.61996077577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3">
        <f>'Resultater - Vestdanmark'!H434+'Resultater - Østdanmark'!H434</f>
        <v>115671.91919191919</v>
      </c>
      <c r="I434" s="274">
        <f>'Resultater - Vestdanmark'!I434+'Resultater - Østdanmark'!I434</f>
        <v>115671.91919191919</v>
      </c>
      <c r="J434" s="275">
        <f>'Resultater - Vestdanmark'!J434+'Resultater - Østdanmark'!J434</f>
        <v>115671.91919191919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3">
        <f>'Resultater - Vestdanmark'!H435+'Resultater - Østdanmark'!H435</f>
        <v>50006.545454545456</v>
      </c>
      <c r="I435" s="274">
        <f>'Resultater - Vestdanmark'!I435+'Resultater - Østdanmark'!I435</f>
        <v>56101.818181818191</v>
      </c>
      <c r="J435" s="275">
        <f>'Resultater - Vestdanmark'!J435+'Resultater - Østdanmark'!J435</f>
        <v>56101.818181818191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3">
        <f>'Resultater - Vestdanmark'!H436+'Resultater - Østdanmark'!H436</f>
        <v>7405.2525252525256</v>
      </c>
      <c r="I436" s="274">
        <f>'Resultater - Vestdanmark'!I436+'Resultater - Østdanmark'!I436</f>
        <v>7405.2525252525256</v>
      </c>
      <c r="J436" s="275">
        <f>'Resultater - Vestdanmark'!J436+'Resultater - Østdanmark'!J436</f>
        <v>7405.2525252525256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3">
        <f>'Resultater - Vestdanmark'!H437+'Resultater - Østdanmark'!H437</f>
        <v>76114.747474747448</v>
      </c>
      <c r="I437" s="274">
        <f>'Resultater - Vestdanmark'!I437+'Resultater - Østdanmark'!I437</f>
        <v>76114.747474747463</v>
      </c>
      <c r="J437" s="275">
        <f>'Resultater - Vestdanmark'!J437+'Resultater - Østdanmark'!J437</f>
        <v>76114.747474747463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3">
        <f>'Resultater - Vestdanmark'!H438+'Resultater - Østdanmark'!H438</f>
        <v>201545.30567673693</v>
      </c>
      <c r="I438" s="274">
        <f>'Resultater - Vestdanmark'!I438+'Resultater - Østdanmark'!I438</f>
        <v>201545.30567673693</v>
      </c>
      <c r="J438" s="275">
        <f>'Resultater - Vestdanmark'!J438+'Resultater - Østdanmark'!J438</f>
        <v>201545.30567673693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6">
        <f>'Resultater - Vestdanmark'!H439+'Resultater - Østdanmark'!H439</f>
        <v>550.81037157810442</v>
      </c>
      <c r="I439" s="277">
        <f>'Resultater - Vestdanmark'!I439+'Resultater - Østdanmark'!I439</f>
        <v>743.39653692532011</v>
      </c>
      <c r="J439" s="278">
        <f>'Resultater - Vestdanmark'!J439+'Resultater - Østdanmark'!J439</f>
        <v>743.39653692532011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0">
        <f>'Resultater - Vestdanmark'!H440+'Resultater - Østdanmark'!H440</f>
        <v>5940049093.1121235</v>
      </c>
      <c r="I440" s="271">
        <f>'Resultater - Vestdanmark'!I440+'Resultater - Østdanmark'!I440</f>
        <v>5940853705.2480011</v>
      </c>
      <c r="J440" s="272">
        <f>'Resultater - Vestdanmark'!J440+'Resultater - Østdanmark'!J440</f>
        <v>5896297302.4586411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3">
        <f>'Resultater - Vestdanmark'!H441+'Resultater - Østdanmark'!H441</f>
        <v>164945487.85478973</v>
      </c>
      <c r="I441" s="274">
        <f>'Resultater - Vestdanmark'!I441+'Resultater - Østdanmark'!I441</f>
        <v>148521342.63120002</v>
      </c>
      <c r="J441" s="275">
        <f>'Resultater - Vestdanmark'!J441+'Resultater - Østdanmark'!J441</f>
        <v>148521342.63120002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3">
        <f>'Resultater - Vestdanmark'!H442+'Resultater - Østdanmark'!H442</f>
        <v>0</v>
      </c>
      <c r="I442" s="274">
        <f>'Resultater - Vestdanmark'!I442+'Resultater - Østdanmark'!I442</f>
        <v>0</v>
      </c>
      <c r="J442" s="275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3">
        <f>'Resultater - Vestdanmark'!H443+'Resultater - Østdanmark'!H443</f>
        <v>78449683.248009756</v>
      </c>
      <c r="I443" s="274">
        <f>'Resultater - Vestdanmark'!I443+'Resultater - Østdanmark'!I443</f>
        <v>78449683.248009756</v>
      </c>
      <c r="J443" s="275">
        <f>'Resultater - Vestdanmark'!J443+'Resultater - Østdanmark'!J443</f>
        <v>78449683.248009756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3">
        <f>'Resultater - Vestdanmark'!H444+'Resultater - Østdanmark'!H444</f>
        <v>143824419.28801787</v>
      </c>
      <c r="I444" s="274">
        <f>'Resultater - Vestdanmark'!I444+'Resultater - Østdanmark'!I444</f>
        <v>311894819.52552003</v>
      </c>
      <c r="J444" s="275">
        <f>'Resultater - Vestdanmark'!J444+'Resultater - Østdanmark'!J444</f>
        <v>1277283546.62832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3">
        <f>'Resultater - Vestdanmark'!H445+'Resultater - Østdanmark'!H445</f>
        <v>1682645129.1528244</v>
      </c>
      <c r="I445" s="274">
        <f>'Resultater - Vestdanmark'!I445+'Resultater - Østdanmark'!I445</f>
        <v>1707995440.2588</v>
      </c>
      <c r="J445" s="275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3">
        <f>'Resultater - Vestdanmark'!H446+'Resultater - Østdanmark'!H446</f>
        <v>242389405.93295321</v>
      </c>
      <c r="I446" s="274">
        <f>'Resultater - Vestdanmark'!I446+'Resultater - Østdanmark'!I446</f>
        <v>297042685.26240003</v>
      </c>
      <c r="J446" s="275">
        <f>'Resultater - Vestdanmark'!J446+'Resultater - Østdanmark'!J446</f>
        <v>297042685.26240003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3">
        <f>'Resultater - Vestdanmark'!H447+'Resultater - Østdanmark'!H447</f>
        <v>0</v>
      </c>
      <c r="I447" s="274">
        <f>'Resultater - Vestdanmark'!I447+'Resultater - Østdanmark'!I447</f>
        <v>148521342.63120002</v>
      </c>
      <c r="J447" s="275">
        <f>'Resultater - Vestdanmark'!J447+'Resultater - Østdanmark'!J447</f>
        <v>148521342.63120002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3">
        <f>'Resultater - Vestdanmark'!H448+'Resultater - Østdanmark'!H448</f>
        <v>0</v>
      </c>
      <c r="I448" s="274">
        <f>'Resultater - Vestdanmark'!I448+'Resultater - Østdanmark'!I448</f>
        <v>222782013.94679999</v>
      </c>
      <c r="J448" s="275">
        <f>'Resultater - Vestdanmark'!J448+'Resultater - Østdanmark'!J448</f>
        <v>371303356.57800007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3">
        <f>'Resultater - Vestdanmark'!H449+'Resultater - Østdanmark'!H449</f>
        <v>2285098465.8907456</v>
      </c>
      <c r="I449" s="274">
        <f>'Resultater - Vestdanmark'!I449+'Resultater - Østdanmark'!I449</f>
        <v>2227820139.4679999</v>
      </c>
      <c r="J449" s="275">
        <f>'Resultater - Vestdanmark'!J449+'Resultater - Østdanmark'!J449</f>
        <v>2227820139.4679999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3">
        <f>'Resultater - Vestdanmark'!H450+'Resultater - Østdanmark'!H450</f>
        <v>163939722.68494347</v>
      </c>
      <c r="I450" s="274">
        <f>'Resultater - Vestdanmark'!I450+'Resultater - Østdanmark'!I450</f>
        <v>148521342.63119999</v>
      </c>
      <c r="J450" s="275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3">
        <f>'Resultater - Vestdanmark'!H451+'Resultater - Østdanmark'!H451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5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3">
        <f>'Resultater - Vestdanmark'!H452+'Resultater - Østdanmark'!H452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5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3">
        <f>'Resultater - Vestdanmark'!H453+'Resultater - Østdanmark'!H453</f>
        <v>121697585.55139975</v>
      </c>
      <c r="I453" s="274">
        <f>'Resultater - Vestdanmark'!I453+'Resultater - Østdanmark'!I453</f>
        <v>133669208.36808001</v>
      </c>
      <c r="J453" s="275">
        <f>'Resultater - Vestdanmark'!J453+'Resultater - Østdanmark'!J453</f>
        <v>148521342.63120002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3">
        <f>'Resultater - Vestdanmark'!H454+'Resultater - Østdanmark'!H454</f>
        <v>4029095270.4041944</v>
      </c>
      <c r="I454" s="274">
        <f>'Resultater - Vestdanmark'!I454+'Resultater - Østdanmark'!I454</f>
        <v>2014547635.2020972</v>
      </c>
      <c r="J454" s="275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3">
        <f>'Resultater - Vestdanmark'!H455+'Resultater - Østdanmark'!H455</f>
        <v>12195000.399999995</v>
      </c>
      <c r="I455" s="274">
        <f>'Resultater - Vestdanmark'!I455+'Resultater - Østdanmark'!I455</f>
        <v>12195000.399999999</v>
      </c>
      <c r="J455" s="275">
        <f>'Resultater - Vestdanmark'!J455+'Resultater - Østdanmark'!J455</f>
        <v>12195000.399999999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3">
        <f>'Resultater - Vestdanmark'!H456+'Resultater - Østdanmark'!H456</f>
        <v>361184.4</v>
      </c>
      <c r="I456" s="274">
        <f>'Resultater - Vestdanmark'!I456+'Resultater - Østdanmark'!I456</f>
        <v>361184.4</v>
      </c>
      <c r="J456" s="275">
        <f>'Resultater - Vestdanmark'!J456+'Resultater - Østdanmark'!J456</f>
        <v>361184.4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3">
        <f>'Resultater - Vestdanmark'!H457+'Resultater - Østdanmark'!H457</f>
        <v>4390946.2499999981</v>
      </c>
      <c r="I457" s="274">
        <f>'Resultater - Vestdanmark'!I457+'Resultater - Østdanmark'!I457</f>
        <v>4390946.2499999991</v>
      </c>
      <c r="J457" s="275">
        <f>'Resultater - Vestdanmark'!J457+'Resultater - Østdanmark'!J457</f>
        <v>4390946.2499999991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3">
        <f>'Resultater - Vestdanmark'!H458+'Resultater - Østdanmark'!H458</f>
        <v>34978432</v>
      </c>
      <c r="I458" s="274">
        <f>'Resultater - Vestdanmark'!I458+'Resultater - Østdanmark'!I458</f>
        <v>34978432</v>
      </c>
      <c r="J458" s="275">
        <f>'Resultater - Vestdanmark'!J458+'Resultater - Østdanmark'!J458</f>
        <v>34978432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79">
        <f>'Resultater - Vestdanmark'!H459+'Resultater - Østdanmark'!H459</f>
        <v>-37099.291058504961</v>
      </c>
      <c r="I459" s="280">
        <f>'Resultater - Vestdanmark'!I459+'Resultater - Østdanmark'!I459</f>
        <v>-37099.291058504954</v>
      </c>
      <c r="J459" s="281">
        <f>'Resultater - Vestdanmark'!J459+'Resultater - Østdanmark'!J459</f>
        <v>-37099.291058504954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3">
        <f>'Resultater - Vestdanmark'!H460+'Resultater - Østdanmark'!H460</f>
        <v>61384486.300000004</v>
      </c>
      <c r="I460" s="274">
        <f>'Resultater - Vestdanmark'!I460+'Resultater - Østdanmark'!I460</f>
        <v>61384486.299999997</v>
      </c>
      <c r="J460" s="275">
        <f>'Resultater - Vestdanmark'!J460+'Resultater - Østdanmark'!J460</f>
        <v>61384486.299999997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79">
        <f>'Resultater - Vestdanmark'!H461+'Resultater - Østdanmark'!H461</f>
        <v>-128107.91983655478</v>
      </c>
      <c r="I461" s="280">
        <f>'Resultater - Vestdanmark'!I461+'Resultater - Østdanmark'!I461</f>
        <v>-128107.91983655478</v>
      </c>
      <c r="J461" s="281">
        <f>'Resultater - Vestdanmark'!J461+'Resultater - Østdanmark'!J461</f>
        <v>-128107.91983655478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3">
        <f>'Resultater - Vestdanmark'!H462+'Resultater - Østdanmark'!H462</f>
        <v>58183.649999999994</v>
      </c>
      <c r="I462" s="274">
        <f>'Resultater - Vestdanmark'!I462+'Resultater - Østdanmark'!I462</f>
        <v>58183.649999999994</v>
      </c>
      <c r="J462" s="275">
        <f>'Resultater - Vestdanmark'!J462+'Resultater - Østdanmark'!J462</f>
        <v>58183.649999999994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3">
        <f>'Resultater - Vestdanmark'!H463+'Resultater - Østdanmark'!H463</f>
        <v>45425220.000000007</v>
      </c>
      <c r="I463" s="274">
        <f>'Resultater - Vestdanmark'!I463+'Resultater - Østdanmark'!I463</f>
        <v>45425220.000000015</v>
      </c>
      <c r="J463" s="275">
        <f>'Resultater - Vestdanmark'!J463+'Resultater - Østdanmark'!J463</f>
        <v>45425220.000000015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3">
        <f>'Resultater - Vestdanmark'!H464+'Resultater - Østdanmark'!H464</f>
        <v>33002600</v>
      </c>
      <c r="I464" s="274">
        <f>'Resultater - Vestdanmark'!I464+'Resultater - Østdanmark'!I464</f>
        <v>33002599.999999993</v>
      </c>
      <c r="J464" s="275">
        <f>'Resultater - Vestdanmark'!J464+'Resultater - Østdanmark'!J464</f>
        <v>33002599.999999993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3">
        <f>'Resultater - Vestdanmark'!H465+'Resultater - Østdanmark'!H465</f>
        <v>2165561.9999999995</v>
      </c>
      <c r="I465" s="274">
        <f>'Resultater - Vestdanmark'!I465+'Resultater - Østdanmark'!I465</f>
        <v>2165561.9999999995</v>
      </c>
      <c r="J465" s="275">
        <f>'Resultater - Vestdanmark'!J465+'Resultater - Østdanmark'!J465</f>
        <v>2165561.9999999995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3">
        <f ca="1">'Resultater - Vestdanmark'!H466+'Resultater - Østdanmark'!H466</f>
        <v>69194816.600000009</v>
      </c>
      <c r="I466" s="274">
        <f ca="1">'Resultater - Vestdanmark'!I466+'Resultater - Østdanmark'!I466</f>
        <v>69194816.599999994</v>
      </c>
      <c r="J466" s="275">
        <f ca="1">'Resultater - Vestdanmark'!J466+'Resultater - Østdanmark'!J466</f>
        <v>69194816.600000009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3">
        <f>'Resultater - Vestdanmark'!H467+'Resultater - Østdanmark'!H467</f>
        <v>102149122.13</v>
      </c>
      <c r="I467" s="274">
        <f>'Resultater - Vestdanmark'!I467+'Resultater - Østdanmark'!I467</f>
        <v>102149122.12999997</v>
      </c>
      <c r="J467" s="275">
        <f>'Resultater - Vestdanmark'!J467+'Resultater - Østdanmark'!J467</f>
        <v>102149122.12999995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3">
        <f>'Resultater - Vestdanmark'!H468+'Resultater - Østdanmark'!H468</f>
        <v>0</v>
      </c>
      <c r="I468" s="274">
        <f>'Resultater - Vestdanmark'!I468+'Resultater - Østdanmark'!I468</f>
        <v>0</v>
      </c>
      <c r="J468" s="275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3">
        <f>'Resultater - Vestdanmark'!H469+'Resultater - Østdanmark'!H469</f>
        <v>0</v>
      </c>
      <c r="I469" s="274">
        <f>'Resultater - Vestdanmark'!I469+'Resultater - Østdanmark'!I469</f>
        <v>0</v>
      </c>
      <c r="J469" s="275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3">
        <f>'Resultater - Vestdanmark'!H470+'Resultater - Østdanmark'!H470</f>
        <v>3689.3999999999996</v>
      </c>
      <c r="I470" s="274">
        <f>'Resultater - Vestdanmark'!I470+'Resultater - Østdanmark'!I470</f>
        <v>3689.3999999999996</v>
      </c>
      <c r="J470" s="275">
        <f>'Resultater - Vestdanmark'!J470+'Resultater - Østdanmark'!J470</f>
        <v>3689.3999999999996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3">
        <f>'Resultater - Vestdanmark'!H471+'Resultater - Østdanmark'!H471</f>
        <v>0</v>
      </c>
      <c r="I471" s="274">
        <f>'Resultater - Vestdanmark'!I471+'Resultater - Østdanmark'!I471</f>
        <v>0</v>
      </c>
      <c r="J471" s="275">
        <f>'Resultater - Vestdanmark'!J471+'Resultater - Østdanmark'!J471</f>
        <v>0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3">
        <f>'Resultater - Vestdanmark'!H472+'Resultater - Østdanmark'!H472</f>
        <v>60431253.120000005</v>
      </c>
      <c r="I472" s="274">
        <f>'Resultater - Vestdanmark'!I472+'Resultater - Østdanmark'!I472</f>
        <v>60431253.120000005</v>
      </c>
      <c r="J472" s="275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3">
        <f>'Resultater - Vestdanmark'!H473+'Resultater - Østdanmark'!H473</f>
        <v>37096792.599999994</v>
      </c>
      <c r="I473" s="274">
        <f>'Resultater - Vestdanmark'!I473+'Resultater - Østdanmark'!I473</f>
        <v>38583990.945885509</v>
      </c>
      <c r="J473" s="275">
        <f>'Resultater - Vestdanmark'!J473+'Resultater - Østdanmark'!J473</f>
        <v>40200100.630491078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79">
        <f ca="1">'Resultater - Vestdanmark'!H474+'Resultater - Østdanmark'!H474</f>
        <v>12034020.807749998</v>
      </c>
      <c r="I474" s="280">
        <f ca="1">'Resultater - Vestdanmark'!I474+'Resultater - Østdanmark'!I474</f>
        <v>12132379.184683278</v>
      </c>
      <c r="J474" s="281">
        <f ca="1">'Resultater - Vestdanmark'!J474+'Resultater - Østdanmark'!J474</f>
        <v>12239263.330946436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79">
        <f>'Resultater - Vestdanmark'!H475+'Resultater - Østdanmark'!H475</f>
        <v>78133292.533333316</v>
      </c>
      <c r="I475" s="280">
        <f>'Resultater - Vestdanmark'!I475+'Resultater - Østdanmark'!I475</f>
        <v>78133292.533333331</v>
      </c>
      <c r="J475" s="281">
        <f>'Resultater - Vestdanmark'!J475+'Resultater - Østdanmark'!J475</f>
        <v>78133292.533333331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79">
        <f>'Resultater - Vestdanmark'!H476+'Resultater - Østdanmark'!H476</f>
        <v>77571922.666666672</v>
      </c>
      <c r="I476" s="280">
        <f>'Resultater - Vestdanmark'!I476+'Resultater - Østdanmark'!I476</f>
        <v>77571922.666666657</v>
      </c>
      <c r="J476" s="281">
        <f>'Resultater - Vestdanmark'!J476+'Resultater - Østdanmark'!J476</f>
        <v>77571922.666666657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79">
        <f>'Resultater - Vestdanmark'!H477+'Resultater - Østdanmark'!H477</f>
        <v>31090.5</v>
      </c>
      <c r="I477" s="280">
        <f>'Resultater - Vestdanmark'!I477+'Resultater - Østdanmark'!I477</f>
        <v>31090.500000000004</v>
      </c>
      <c r="J477" s="281">
        <f>'Resultater - Vestdanmark'!J477+'Resultater - Østdanmark'!J477</f>
        <v>31090.500000000004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79">
        <f>'Resultater - Vestdanmark'!H478+'Resultater - Østdanmark'!H478</f>
        <v>11532709.900000002</v>
      </c>
      <c r="I478" s="280">
        <f>'Resultater - Vestdanmark'!I478+'Resultater - Østdanmark'!I478</f>
        <v>11532709.900000002</v>
      </c>
      <c r="J478" s="281">
        <f>'Resultater - Vestdanmark'!J478+'Resultater - Østdanmark'!J478</f>
        <v>11532709.900000002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79">
        <f ca="1">'Resultater - Vestdanmark'!H479+'Resultater - Østdanmark'!H479</f>
        <v>61624442.148559391</v>
      </c>
      <c r="I479" s="280">
        <f ca="1">'Resultater - Vestdanmark'!I479+'Resultater - Østdanmark'!I479</f>
        <v>61466613.451324061</v>
      </c>
      <c r="J479" s="281">
        <f ca="1">'Resultater - Vestdanmark'!J479+'Resultater - Østdanmark'!J479</f>
        <v>61298871.046374038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79">
        <f ca="1">'Resultater - Vestdanmark'!H480+'Resultater - Østdanmark'!H480</f>
        <v>151170766.56868804</v>
      </c>
      <c r="I480" s="280">
        <f ca="1">'Resultater - Vestdanmark'!I480+'Resultater - Østdanmark'!I480</f>
        <v>151258471.10185054</v>
      </c>
      <c r="J480" s="281">
        <f ca="1">'Resultater - Vestdanmark'!J480+'Resultater - Østdanmark'!J480</f>
        <v>151426213.50680056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3">
        <f>'Resultater - Vestdanmark'!H481+'Resultater - Østdanmark'!H481</f>
        <v>19.591464268115235</v>
      </c>
      <c r="I481" s="284">
        <f>'Resultater - Vestdanmark'!I481+'Resultater - Østdanmark'!I481</f>
        <v>20.480950239833714</v>
      </c>
      <c r="J481" s="285">
        <f>'Resultater - Vestdanmark'!J481+'Resultater - Østdanmark'!J481</f>
        <v>20.480950239833714</v>
      </c>
      <c r="L481" s="167" t="s">
        <v>213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3">
        <f>'Resultater - Vestdanmark'!H482+'Resultater - Østdanmark'!H482</f>
        <v>3.9505661308495017</v>
      </c>
      <c r="I482" s="284">
        <f>'Resultater - Vestdanmark'!I482+'Resultater - Østdanmark'!I482</f>
        <v>7.5968178729088409</v>
      </c>
      <c r="J482" s="285">
        <f>'Resultater - Vestdanmark'!J482+'Resultater - Østdanmark'!J482</f>
        <v>7.5968178729088409</v>
      </c>
      <c r="L482" s="167" t="s">
        <v>217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2">
        <f>'Resultater - Vestdanmark'!H483+'Resultater - Østdanmark'!H483</f>
        <v>3.8615553516557766</v>
      </c>
      <c r="I483" s="284">
        <f>'Resultater - Vestdanmark'!I483+'Resultater - Østdanmark'!I483</f>
        <v>3.8580913504760015</v>
      </c>
      <c r="J483" s="285">
        <f>'Resultater - Vestdanmark'!J483+'Resultater - Østdanmark'!J483</f>
        <v>3.8580913504760015</v>
      </c>
      <c r="L483" s="167" t="s">
        <v>214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2">
        <f ca="1">'Resultater - Vestdanmark'!H484+'Resultater - Østdanmark'!H484</f>
        <v>43.629875452920871</v>
      </c>
      <c r="I484" s="284">
        <f ca="1">'Resultater - Vestdanmark'!I484+'Resultater - Østdanmark'!I484</f>
        <v>41.330919759667616</v>
      </c>
      <c r="J484" s="285">
        <f ca="1">'Resultater - Vestdanmark'!J484+'Resultater - Østdanmark'!J484</f>
        <v>38.102252689384983</v>
      </c>
      <c r="L484" s="167" t="s">
        <v>215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2">
        <f>'Resultater - Vestdanmark'!H485+'Resultater - Østdanmark'!H485</f>
        <v>17.543930524502301</v>
      </c>
      <c r="I485" s="284">
        <f>'Resultater - Vestdanmark'!I485+'Resultater - Østdanmark'!I485</f>
        <v>17.543930524502301</v>
      </c>
      <c r="J485" s="285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2">
        <f ca="1">'Resultater - Vestdanmark'!H486+'Resultater - Østdanmark'!H486</f>
        <v>0</v>
      </c>
      <c r="I486" s="284">
        <f ca="1">'Resultater - Vestdanmark'!I486+'Resultater - Østdanmark'!I486</f>
        <v>0</v>
      </c>
      <c r="J486" s="285">
        <f ca="1">'Resultater - Vestdanmark'!J486+'Resultater - Østdanmark'!J486</f>
        <v>0</v>
      </c>
      <c r="L486" s="166" t="s">
        <v>107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2">
        <f>'Resultater - Vestdanmark'!H487+'Resultater - Østdanmark'!H487</f>
        <v>0</v>
      </c>
      <c r="I487" s="284">
        <f>'Resultater - Vestdanmark'!I487+'Resultater - Østdanmark'!I487</f>
        <v>0</v>
      </c>
      <c r="J487" s="285">
        <f>'Resultater - Vestdanmark'!J487+'Resultater - Østdanmark'!J487</f>
        <v>0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2">
        <f>'Resultater - Vestdanmark'!H488+'Resultater - Østdanmark'!H488</f>
        <v>0</v>
      </c>
      <c r="I488" s="284">
        <f>'Resultater - Vestdanmark'!I488+'Resultater - Østdanmark'!I488</f>
        <v>0</v>
      </c>
      <c r="J488" s="285">
        <f>'Resultater - Vestdanmark'!J488+'Resultater - Østdanmark'!J488</f>
        <v>0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6">
        <f ca="1">'Resultater - Vestdanmark'!H489+'Resultater - Østdanmark'!H489</f>
        <v>16.609927730843868</v>
      </c>
      <c r="I489" s="287">
        <f ca="1">'Resultater - Vestdanmark'!I489+'Resultater - Østdanmark'!I489</f>
        <v>16.663318151461159</v>
      </c>
      <c r="J489" s="288">
        <f ca="1">'Resultater - Vestdanmark'!J489+'Resultater - Østdanmark'!J489</f>
        <v>16.721336489138494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89">
        <f>'Resultater - Vestdanmark'!H490+'Resultater - Østdanmark'!H490</f>
        <v>0</v>
      </c>
      <c r="I490" s="290">
        <f>'Resultater - Vestdanmark'!I490+'Resultater - Østdanmark'!I490</f>
        <v>432062.08765440003</v>
      </c>
      <c r="J490" s="291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89">
        <f>'Resultater - Vestdanmark'!H491+'Resultater - Østdanmark'!H491</f>
        <v>0</v>
      </c>
      <c r="I491" s="290">
        <f>'Resultater - Vestdanmark'!I491+'Resultater - Østdanmark'!I491</f>
        <v>889539.5922296471</v>
      </c>
      <c r="J491" s="291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89">
        <f>'Resultater - Vestdanmark'!H492+'Resultater - Østdanmark'!H492</f>
        <v>0</v>
      </c>
      <c r="I492" s="290">
        <f>'Resultater - Vestdanmark'!I492+'Resultater - Østdanmark'!I492</f>
        <v>1262943.934994688</v>
      </c>
      <c r="J492" s="291">
        <f>'Resultater - Vestdanmark'!J492+'Resultater - Østdanmark'!J492</f>
        <v>1957563.0992417661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89">
        <f>'Resultater - Vestdanmark'!H493+'Resultater - Østdanmark'!H493</f>
        <v>339162.61425562343</v>
      </c>
      <c r="I493" s="290">
        <f>'Resultater - Vestdanmark'!I493+'Resultater - Østdanmark'!I493</f>
        <v>339143.65504057333</v>
      </c>
      <c r="J493" s="291">
        <f>'Resultater - Vestdanmark'!J493+'Resultater - Østdanmark'!J493</f>
        <v>339143.65504057333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89">
        <f>'Resultater - Vestdanmark'!H494+'Resultater - Østdanmark'!H494</f>
        <v>217064.073123599</v>
      </c>
      <c r="I494" s="290">
        <f>'Resultater - Vestdanmark'!I494+'Resultater - Østdanmark'!I494</f>
        <v>217051.93922596693</v>
      </c>
      <c r="J494" s="291">
        <f>'Resultater - Vestdanmark'!J494+'Resultater - Østdanmark'!J494</f>
        <v>217051.93922596693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89">
        <f>'Resultater - Vestdanmark'!H495+'Resultater - Østdanmark'!H495</f>
        <v>0</v>
      </c>
      <c r="I495" s="290">
        <f>'Resultater - Vestdanmark'!I495+'Resultater - Østdanmark'!I495</f>
        <v>0</v>
      </c>
      <c r="J495" s="291">
        <f>'Resultater - Vestdanmark'!J495+'Resultater - Østdanmark'!J495</f>
        <v>0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89">
        <f>'Resultater - Vestdanmark'!H496+'Resultater - Østdanmark'!H496</f>
        <v>0</v>
      </c>
      <c r="I496" s="290">
        <f>'Resultater - Vestdanmark'!I496+'Resultater - Østdanmark'!I496</f>
        <v>0</v>
      </c>
      <c r="J496" s="291">
        <f>'Resultater - Vestdanmark'!J496+'Resultater - Østdanmark'!J496</f>
        <v>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2">
        <f>'Resultater - Vestdanmark'!H497+'Resultater - Østdanmark'!H497</f>
        <v>0</v>
      </c>
      <c r="I497" s="293">
        <f>'Resultater - Vestdanmark'!I497+'Resultater - Østdanmark'!I497</f>
        <v>0</v>
      </c>
      <c r="J497" s="294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2" t="s">
        <v>246</v>
      </c>
      <c r="B1" s="442"/>
      <c r="C1" s="442"/>
      <c r="F1" s="443" t="s">
        <v>248</v>
      </c>
      <c r="G1" s="443"/>
      <c r="H1" s="443"/>
      <c r="I1" s="443"/>
      <c r="J1" s="443"/>
      <c r="K1" s="443"/>
      <c r="L1" s="443"/>
      <c r="M1" s="444"/>
      <c r="N1" s="445" t="s">
        <v>249</v>
      </c>
      <c r="O1" s="446"/>
      <c r="P1" s="447"/>
      <c r="Q1" s="439" t="s">
        <v>120</v>
      </c>
      <c r="R1" s="439"/>
      <c r="S1" s="439"/>
      <c r="T1" s="440"/>
      <c r="U1" s="441" t="s">
        <v>227</v>
      </c>
      <c r="V1" s="439"/>
      <c r="W1" s="439"/>
      <c r="X1" s="440"/>
    </row>
    <row r="2" spans="1:26" x14ac:dyDescent="0.25">
      <c r="A2" s="194" t="s">
        <v>126</v>
      </c>
      <c r="B2" s="194" t="s">
        <v>306</v>
      </c>
      <c r="C2" s="194" t="s">
        <v>127</v>
      </c>
      <c r="D2" s="194" t="s">
        <v>57</v>
      </c>
      <c r="E2" s="194" t="s">
        <v>63</v>
      </c>
      <c r="F2" s="194" t="s">
        <v>130</v>
      </c>
      <c r="G2" s="194" t="s">
        <v>110</v>
      </c>
      <c r="H2" s="194" t="s">
        <v>122</v>
      </c>
      <c r="I2" s="194" t="s">
        <v>125</v>
      </c>
      <c r="J2" s="194" t="s">
        <v>107</v>
      </c>
      <c r="K2" s="194" t="s">
        <v>112</v>
      </c>
      <c r="L2" s="194" t="s">
        <v>118</v>
      </c>
      <c r="M2" s="185" t="s">
        <v>221</v>
      </c>
      <c r="N2" s="197" t="s">
        <v>247</v>
      </c>
      <c r="O2" s="194" t="s">
        <v>128</v>
      </c>
      <c r="P2" s="198" t="s">
        <v>188</v>
      </c>
      <c r="Q2" s="194" t="s">
        <v>129</v>
      </c>
      <c r="R2" s="194" t="s">
        <v>230</v>
      </c>
      <c r="S2" s="194" t="s">
        <v>231</v>
      </c>
      <c r="T2" s="196" t="s">
        <v>279</v>
      </c>
      <c r="U2" s="195" t="s">
        <v>233</v>
      </c>
      <c r="V2" s="194" t="s">
        <v>232</v>
      </c>
      <c r="W2" s="194" t="s">
        <v>234</v>
      </c>
      <c r="X2" s="196" t="s">
        <v>278</v>
      </c>
      <c r="Y2" s="95" t="s">
        <v>273</v>
      </c>
      <c r="Z2" s="194" t="s">
        <v>295</v>
      </c>
    </row>
    <row r="3" spans="1:26" hidden="1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89" t="s">
        <v>48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hidden="1" x14ac:dyDescent="0.25">
      <c r="A5" s="189" t="s">
        <v>100</v>
      </c>
      <c r="B5" s="189" t="s">
        <v>228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hidden="1" x14ac:dyDescent="0.25">
      <c r="A6" s="189" t="s">
        <v>107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hidden="1" x14ac:dyDescent="0.25">
      <c r="A7" s="189" t="s">
        <v>108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hidden="1" x14ac:dyDescent="0.25">
      <c r="A8" s="189" t="s">
        <v>206</v>
      </c>
      <c r="B8" s="189" t="s">
        <v>228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hidden="1" x14ac:dyDescent="0.25">
      <c r="A9" s="187" t="s">
        <v>99</v>
      </c>
      <c r="B9" s="189" t="s">
        <v>220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hidden="1" x14ac:dyDescent="0.25">
      <c r="A10" s="187" t="s">
        <v>202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hidden="1" x14ac:dyDescent="0.25">
      <c r="A11" s="187" t="s">
        <v>135</v>
      </c>
      <c r="B11" s="189" t="s">
        <v>220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hidden="1" x14ac:dyDescent="0.25">
      <c r="A12" s="187" t="s">
        <v>94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hidden="1" x14ac:dyDescent="0.25">
      <c r="A13" s="187" t="s">
        <v>111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hidden="1" x14ac:dyDescent="0.25">
      <c r="A14" s="187" t="s">
        <v>53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hidden="1" x14ac:dyDescent="0.25">
      <c r="A15" s="189" t="s">
        <v>156</v>
      </c>
      <c r="B15" s="189" t="s">
        <v>156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hidden="1" x14ac:dyDescent="0.25">
      <c r="A16" s="189" t="s">
        <v>50</v>
      </c>
      <c r="B16" s="189" t="s">
        <v>222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hidden="1" x14ac:dyDescent="0.25">
      <c r="A17" s="189" t="s">
        <v>201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hidden="1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65</v>
      </c>
      <c r="B19" s="189" t="s">
        <v>225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hidden="1" x14ac:dyDescent="0.25">
      <c r="A20" s="189" t="s">
        <v>160</v>
      </c>
      <c r="B20" s="189" t="s">
        <v>228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hidden="1" x14ac:dyDescent="0.25">
      <c r="A21" s="187" t="s">
        <v>157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hidden="1" x14ac:dyDescent="0.25">
      <c r="A22" s="189" t="s">
        <v>101</v>
      </c>
      <c r="B22" s="189" t="s">
        <v>228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hidden="1" x14ac:dyDescent="0.25">
      <c r="A23" s="189" t="s">
        <v>55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hidden="1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hidden="1" x14ac:dyDescent="0.25">
      <c r="A25" s="189" t="s">
        <v>47</v>
      </c>
      <c r="B25" s="189" t="s">
        <v>225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hidden="1" x14ac:dyDescent="0.25">
      <c r="A26" s="189" t="s">
        <v>113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hidden="1" x14ac:dyDescent="0.25">
      <c r="A27" s="189" t="s">
        <v>134</v>
      </c>
      <c r="B27" s="189" t="s">
        <v>220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hidden="1" x14ac:dyDescent="0.25">
      <c r="A28" s="189" t="s">
        <v>106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hidden="1" x14ac:dyDescent="0.25">
      <c r="A29" s="187" t="s">
        <v>52</v>
      </c>
      <c r="B29" s="189" t="s">
        <v>222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hidden="1" x14ac:dyDescent="0.25">
      <c r="A30" s="189" t="s">
        <v>114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hidden="1" x14ac:dyDescent="0.25">
      <c r="A31" s="189" t="s">
        <v>104</v>
      </c>
      <c r="B31" s="189" t="s">
        <v>224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hidden="1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hidden="1" x14ac:dyDescent="0.25">
      <c r="A33" s="189" t="s">
        <v>54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hidden="1" x14ac:dyDescent="0.25">
      <c r="A34" s="189" t="s">
        <v>93</v>
      </c>
      <c r="B34" s="189" t="s">
        <v>223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hidden="1" x14ac:dyDescent="0.25">
      <c r="A35" s="189" t="s">
        <v>301</v>
      </c>
      <c r="B35" s="189" t="s">
        <v>307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hidden="1" x14ac:dyDescent="0.25">
      <c r="A36" s="189" t="s">
        <v>302</v>
      </c>
      <c r="B36" s="189" t="s">
        <v>307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hidden="1" x14ac:dyDescent="0.25">
      <c r="A37" s="189" t="s">
        <v>115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hidden="1" x14ac:dyDescent="0.25">
      <c r="A38" s="187" t="s">
        <v>49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hidden="1" x14ac:dyDescent="0.25">
      <c r="A39" s="187" t="s">
        <v>236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hidden="1" x14ac:dyDescent="0.25">
      <c r="A40" s="187" t="s">
        <v>229</v>
      </c>
      <c r="B40" s="189" t="s">
        <v>229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hidden="1" x14ac:dyDescent="0.25">
      <c r="A41" s="187" t="s">
        <v>51</v>
      </c>
      <c r="B41" s="189" t="s">
        <v>222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hidden="1" x14ac:dyDescent="0.25">
      <c r="A42" s="187" t="s">
        <v>119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hidden="1" x14ac:dyDescent="0.25">
      <c r="A43" s="187" t="s">
        <v>105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hidden="1" x14ac:dyDescent="0.25">
      <c r="A44" s="189" t="s">
        <v>138</v>
      </c>
      <c r="B44" s="189" t="s">
        <v>228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hidden="1" x14ac:dyDescent="0.25">
      <c r="A45" s="189" t="s">
        <v>133</v>
      </c>
      <c r="B45" s="189" t="s">
        <v>220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hidden="1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hidden="1" x14ac:dyDescent="0.25">
      <c r="A47" s="189" t="s">
        <v>97</v>
      </c>
      <c r="B47" s="189" t="s">
        <v>224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hidden="1" x14ac:dyDescent="0.25">
      <c r="A48" s="189" t="s">
        <v>102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hidden="1" x14ac:dyDescent="0.25">
      <c r="A49" s="189" t="s">
        <v>117</v>
      </c>
      <c r="B49" s="189" t="s">
        <v>223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hidden="1" x14ac:dyDescent="0.25">
      <c r="A50" s="189" t="s">
        <v>116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hidden="1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216803.74196206822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184223.95740906836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hidden="1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258348.53377897467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64498.47547519199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193850.05830378269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hidden="1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390777.6062945897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-195695.38031020784</v>
      </c>
      <c r="O53" s="190">
        <f t="shared" ca="1" si="1"/>
        <v>0</v>
      </c>
      <c r="P53" s="200">
        <f t="shared" ca="1" si="10"/>
        <v>390777.6062945897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1.3313441346611008</v>
      </c>
      <c r="S53" s="187">
        <f ca="1">IFERROR(VLOOKUP(A53,[1]Biogasudbytte!$A$2:$B$18,2,FALSE)*[1]Energiindhold!$C$10,0)*J53*IFERROR(VLOOKUP(A53,Biogasanlæg!$F$3:$G$8,2,FALSE),1)</f>
        <v>1.3313441346611008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109417.72976248512</v>
      </c>
      <c r="W53" s="187">
        <f ca="1">J53*IFERROR(VLOOKUP(A53,[1]Tørstofindhold!A$2:B$24,2,FALSE),0)</f>
        <v>109417.72976248512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hidden="1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352459239.7947365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352459239.7947365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352459239.7947365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hidden="1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9618448.3268169146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6961459.2759982441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2656989.0508186705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hidden="1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1124875.4356381577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1124875.4356381577</v>
      </c>
      <c r="O56" s="190">
        <f t="shared" si="1"/>
        <v>1124875.4356381577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0.6389585807508037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0.6389585807508037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0.6389585807508037</v>
      </c>
      <c r="U56" s="186">
        <f>O56*IFERROR(VLOOKUP(A56,[1]Tørstofindhold!A$2:B$24,2,FALSE),0)</f>
        <v>48103.484209199996</v>
      </c>
      <c r="V56" s="187">
        <f>IF(D56=År1,P56,SUM(O56,P56))*IFERROR(VLOOKUP(A56,[1]Tørstofindhold!A$2:B$24,2,FALSE),0)</f>
        <v>48103.484209199996</v>
      </c>
      <c r="W56" s="187">
        <f>J56*IFERROR(VLOOKUP(A56,[1]Tørstofindhold!A$2:B$24,2,FALSE),0)</f>
        <v>0</v>
      </c>
      <c r="X56" s="188">
        <f t="shared" si="12"/>
        <v>48103.484209199996</v>
      </c>
      <c r="Y56" s="168">
        <f t="shared" si="2"/>
        <v>0</v>
      </c>
      <c r="Z56" s="103">
        <f t="shared" si="3"/>
        <v>1</v>
      </c>
    </row>
    <row r="57" spans="1:26" hidden="1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2585292.5074597793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667318.32127947919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726090.22762539925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1191883.9585549007</v>
      </c>
      <c r="O57" s="190">
        <f t="shared" si="1"/>
        <v>1191883.9585549007</v>
      </c>
      <c r="P57" s="200">
        <f t="shared" si="10"/>
        <v>667318.32127947919</v>
      </c>
      <c r="Q57" s="187">
        <f>IFERROR(VLOOKUP(A57,[1]Energiindhold!$A$2:$C$11,3,FALSE),IFERROR(VLOOKUP(A57,[1]Biogasudbytte!$A$2:$B$18,2,FALSE)*[1]Energiindhold!$C$10,0))*O57</f>
        <v>2.5673180467272561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4.0047217107632544</v>
      </c>
      <c r="S57" s="187">
        <f>IFERROR(VLOOKUP(A57,[1]Biogasudbytte!$A$2:$B$18,2,FALSE)*[1]Energiindhold!$C$10,0)*J57*IFERROR(VLOOKUP(A57,Biogasanlæg!$F$3:$G$8,2,FALSE),1)</f>
        <v>1.4374036640359982</v>
      </c>
      <c r="T57" s="188">
        <f t="shared" si="11"/>
        <v>2.5673180467272561</v>
      </c>
      <c r="U57" s="186">
        <f>O57*IFERROR(VLOOKUP(A57,[1]Tørstofindhold!A$2:B$24,2,FALSE),0)</f>
        <v>357565.18756647018</v>
      </c>
      <c r="V57" s="187">
        <f>IF(D57=År1,P57,SUM(O57,P57))*IFERROR(VLOOKUP(A57,[1]Tørstofindhold!A$2:B$24,2,FALSE),0)</f>
        <v>557760.68395031395</v>
      </c>
      <c r="W57" s="187">
        <f>J57*IFERROR(VLOOKUP(A57,[1]Tørstofindhold!A$2:B$24,2,FALSE),0)</f>
        <v>200195.49638384374</v>
      </c>
      <c r="X57" s="188">
        <f t="shared" si="12"/>
        <v>357565.18756647024</v>
      </c>
      <c r="Y57" s="168">
        <f t="shared" si="2"/>
        <v>0</v>
      </c>
      <c r="Z57" s="103">
        <f t="shared" si="3"/>
        <v>1</v>
      </c>
    </row>
    <row r="58" spans="1:26" hidden="1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792292.68109270593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812348.7556337103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hidden="1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8195.1814461661797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4097.5907230830899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4097.5907230830899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4097.5907230830899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1.9270559411587464E-3</v>
      </c>
      <c r="S59" s="187">
        <f>IFERROR(VLOOKUP(A59,[1]Biogasudbytte!$A$2:$B$18,2,FALSE)*[1]Energiindhold!$C$10,0)*J59*IFERROR(VLOOKUP(A59,Biogasanlæg!$F$3:$G$8,2,FALSE),1)</f>
        <v>1.9270559411587464E-3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258.14821555423464</v>
      </c>
      <c r="W59" s="187">
        <f>J59*IFERROR(VLOOKUP(A59,[1]Tørstofindhold!A$2:B$24,2,FALSE),0)</f>
        <v>258.14821555423464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hidden="1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185939.47423661887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150644.7076375357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hidden="1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887116.63790834171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887116.63790834171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hidden="1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25941.118107381029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-231982.17627053458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hidden="1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hidden="1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15739257.35497462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75396.802843747093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2301995.9904044638</v>
      </c>
      <c r="N64" s="199">
        <f t="shared" si="9"/>
        <v>1430924.8462763224</v>
      </c>
      <c r="O64" s="190">
        <f t="shared" si="1"/>
        <v>1430924.8462763224</v>
      </c>
      <c r="P64" s="200">
        <f t="shared" si="10"/>
        <v>75396.802843747093</v>
      </c>
      <c r="Q64" s="187">
        <f>IFERROR(VLOOKUP(A64,[1]Energiindhold!$A$2:$C$11,3,FALSE),IFERROR(VLOOKUP(A64,[1]Biogasudbytte!$A$2:$B$18,2,FALSE)*[1]Energiindhold!$C$10,0))*O64</f>
        <v>2.6327228515426486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2.771443544174788</v>
      </c>
      <c r="S64" s="187">
        <f>IFERROR(VLOOKUP(A64,[1]Biogasudbytte!$A$2:$B$18,2,FALSE)*[1]Energiindhold!$C$10,0)*J64*IFERROR(VLOOKUP(A64,Biogasanlæg!$F$3:$G$8,2,FALSE),1)</f>
        <v>0.13872069263213918</v>
      </c>
      <c r="T64" s="188">
        <f t="shared" si="11"/>
        <v>2.6327228515426486</v>
      </c>
      <c r="U64" s="186">
        <f>O64*IFERROR(VLOOKUP(A64,[1]Tørstofindhold!A$2:B$24,2,FALSE),0)</f>
        <v>400658.95695737028</v>
      </c>
      <c r="V64" s="187">
        <f>IF(D64=År1,P64,SUM(O64,P64))*IFERROR(VLOOKUP(A64,[1]Tørstofindhold!A$2:B$24,2,FALSE),0)</f>
        <v>421770.06175361952</v>
      </c>
      <c r="W64" s="187">
        <f>J64*IFERROR(VLOOKUP(A64,[1]Tørstofindhold!A$2:B$24,2,FALSE),0)</f>
        <v>21111.104796249187</v>
      </c>
      <c r="X64" s="188">
        <f t="shared" si="12"/>
        <v>400658.95695737033</v>
      </c>
      <c r="Y64" s="168">
        <f t="shared" si="2"/>
        <v>0</v>
      </c>
      <c r="Z64" s="103">
        <f t="shared" si="3"/>
        <v>1</v>
      </c>
    </row>
    <row r="65" spans="1:26" hidden="1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384827.87367360003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384827.87367360003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hidden="1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185013.14539265414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-85127.568192636449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2716655.3712392659</v>
      </c>
      <c r="G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696107.27987490187</v>
      </c>
      <c r="H67" s="419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728576.62938789232</v>
      </c>
      <c r="I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53173.963978660795</v>
      </c>
      <c r="K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19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1238797.4979978111</v>
      </c>
      <c r="M67" s="420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1291971.4619764718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13.110547648987096</v>
      </c>
      <c r="S67" s="187">
        <f>IFERROR(VLOOKUP(A67,[1]Biogasudbytte!$A$2:$B$18,2,FALSE)*[1]Energiindhold!$C$10,0)*J67*IFERROR(VLOOKUP(A67,Biogasanlæg!$F$3:$G$8,2,FALSE),1)</f>
        <v>0.30657661627752797</v>
      </c>
      <c r="T67" s="188">
        <f t="shared" si="11"/>
        <v>12.803971032709567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1098175.7426800011</v>
      </c>
      <c r="W67" s="187">
        <f>J67*IFERROR(VLOOKUP(A67,[1]Tørstofindhold!A$2:B$24,2,FALSE),0)</f>
        <v>45197.869381861674</v>
      </c>
      <c r="X67" s="188">
        <f t="shared" si="12"/>
        <v>1052977.8732981393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hidden="1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hidden="1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524512.99341045239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717790.84090882004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-193277.84749836766</v>
      </c>
      <c r="O70" s="190">
        <f t="shared" si="20"/>
        <v>0</v>
      </c>
      <c r="P70" s="200">
        <f t="shared" si="10"/>
        <v>717790.84090882004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2.64373887249715</v>
      </c>
      <c r="S70" s="187">
        <f>IFERROR(VLOOKUP(A70,[1]Biogasudbytte!$A$2:$B$18,2,FALSE)*[1]Energiindhold!$C$10,0)*J70*IFERROR(VLOOKUP(A70,Biogasanlæg!$F$3:$G$8,2,FALSE),1)</f>
        <v>2.64373887249715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301472.1531817044</v>
      </c>
      <c r="W70" s="187">
        <f>J70*IFERROR(VLOOKUP(A70,[1]Tørstofindhold!A$2:B$24,2,FALSE),0)</f>
        <v>301472.1531817044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hidden="1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766247.46968224843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766247.46968224843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hidden="1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2145649.2459728522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2022117.5628760611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hidden="1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6841876.8816415966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2843.0448080797141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663089.21996218525</v>
      </c>
      <c r="O73" s="190">
        <f t="shared" si="20"/>
        <v>663089.21996218525</v>
      </c>
      <c r="P73" s="200">
        <f t="shared" si="10"/>
        <v>2843.0448080797141</v>
      </c>
      <c r="Q73" s="187">
        <f>IFERROR(VLOOKUP(A73,[1]Energiindhold!$A$2:$C$11,3,FALSE),IFERROR(VLOOKUP(A73,[1]Biogasudbytte!$A$2:$B$18,2,FALSE)*[1]Energiindhold!$C$10,0))*O73</f>
        <v>2.2709877458796903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2.2807247763210903</v>
      </c>
      <c r="S73" s="187">
        <f>IFERROR(VLOOKUP(A73,[1]Biogasudbytte!$A$2:$B$18,2,FALSE)*[1]Energiindhold!$C$10,0)*J73*IFERROR(VLOOKUP(A73,Biogasanlæg!$F$3:$G$8,2,FALSE),1)</f>
        <v>9.7370304413998913E-3</v>
      </c>
      <c r="T73" s="188">
        <f t="shared" si="11"/>
        <v>2.2709877458796903</v>
      </c>
      <c r="U73" s="186">
        <f>O73*IFERROR(VLOOKUP(A73,[1]Tørstofindhold!A$2:B$24,2,FALSE),0)</f>
        <v>205557.65818827742</v>
      </c>
      <c r="V73" s="187">
        <f>IF(D73=År1,P73,SUM(O73,P73))*IFERROR(VLOOKUP(A73,[1]Tørstofindhold!A$2:B$24,2,FALSE),0)</f>
        <v>206439.00207878213</v>
      </c>
      <c r="W73" s="187">
        <f>J73*IFERROR(VLOOKUP(A73,[1]Tørstofindhold!A$2:B$24,2,FALSE),0)</f>
        <v>881.34389050471134</v>
      </c>
      <c r="X73" s="188">
        <f t="shared" si="12"/>
        <v>205557.65818827742</v>
      </c>
      <c r="Y73" s="168">
        <f t="shared" si="21"/>
        <v>0</v>
      </c>
      <c r="Z73" s="103">
        <f t="shared" si="22"/>
        <v>1</v>
      </c>
    </row>
    <row r="74" spans="1:26" hidden="1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569990.77245280764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-569990.77245280764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hidden="1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13117674.288871367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4064620.7701627249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9053053.5187086407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4064620.7701627249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2.05747038764867</v>
      </c>
      <c r="S75" s="187">
        <f>IFERROR(VLOOKUP(A75,[1]Biogasudbytte!$A$2:$B$18,2,FALSE)*[1]Energiindhold!$C$10,0)*J75*IFERROR(VLOOKUP(A75,Biogasanlæg!$F$3:$G$8,2,FALSE),1)</f>
        <v>2.05747038764867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308911.17853236711</v>
      </c>
      <c r="W75" s="187">
        <f>J75*IFERROR(VLOOKUP(A75,[1]Tørstofindhold!A$2:B$24,2,FALSE),0)</f>
        <v>308911.17853236711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hidden="1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1637278.8284784025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264116.17801577924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hidden="1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7589241.0420488026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5742281.5453988193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314868.82722217118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1532090.6694278121</v>
      </c>
      <c r="O77" s="190">
        <f t="shared" si="20"/>
        <v>1177450.5819942271</v>
      </c>
      <c r="P77" s="200">
        <f t="shared" si="10"/>
        <v>314868.82722217118</v>
      </c>
      <c r="Q77" s="187">
        <f>IFERROR(VLOOKUP(A77,[1]Energiindhold!$A$2:$C$11,3,FALSE),IFERROR(VLOOKUP(A77,[1]Biogasudbytte!$A$2:$B$18,2,FALSE)*[1]Energiindhold!$C$10,0))*O77</f>
        <v>4.2270475893592758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5.3574266790868705</v>
      </c>
      <c r="S77" s="187">
        <f>IFERROR(VLOOKUP(A77,[1]Biogasudbytte!$A$2:$B$18,2,FALSE)*[1]Energiindhold!$C$10,0)*J77*IFERROR(VLOOKUP(A77,Biogasanlæg!$F$3:$G$8,2,FALSE),1)</f>
        <v>1.1303790897275947</v>
      </c>
      <c r="T77" s="188">
        <f t="shared" si="11"/>
        <v>4.2270475893592758</v>
      </c>
      <c r="U77" s="186">
        <f>O77*IFERROR(VLOOKUP(A77,[1]Tørstofindhold!A$2:B$24,2,FALSE),0)</f>
        <v>353235.17459826812</v>
      </c>
      <c r="V77" s="187">
        <f>IF(D77=År1,P77,SUM(O77,P77))*IFERROR(VLOOKUP(A77,[1]Tørstofindhold!A$2:B$24,2,FALSE),0)</f>
        <v>447695.82276491949</v>
      </c>
      <c r="W77" s="187">
        <f>J77*IFERROR(VLOOKUP(A77,[1]Tørstofindhold!A$2:B$24,2,FALSE),0)</f>
        <v>94460.648166651357</v>
      </c>
      <c r="X77" s="188">
        <f t="shared" si="12"/>
        <v>353235.17459826812</v>
      </c>
      <c r="Y77" s="168">
        <f t="shared" si="21"/>
        <v>0</v>
      </c>
      <c r="Z77" s="103">
        <f t="shared" si="22"/>
        <v>1</v>
      </c>
    </row>
    <row r="78" spans="1:26" hidden="1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3159098.4087003632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2686691.5326818652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hidden="1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140728.27827159574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-139849.37595814597</v>
      </c>
      <c r="O79" s="190">
        <f t="shared" si="20"/>
        <v>0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</v>
      </c>
      <c r="U79" s="186">
        <f>O79*IFERROR(VLOOKUP(A79,[1]Tørstofindhold!A$2:B$24,2,FALSE),0)</f>
        <v>0</v>
      </c>
      <c r="V79" s="187">
        <f>IF(D79=År1,P79,SUM(O79,P79))*IFERROR(VLOOKUP(A79,[1]Tørstofindhold!A$2:B$24,2,FALSE),0)</f>
        <v>0</v>
      </c>
      <c r="W79" s="187">
        <f>J79*IFERROR(VLOOKUP(A79,[1]Tørstofindhold!A$2:B$24,2,FALSE),0)</f>
        <v>0</v>
      </c>
      <c r="X79" s="188">
        <f t="shared" si="12"/>
        <v>0</v>
      </c>
      <c r="Y79" s="168">
        <f t="shared" si="21"/>
        <v>1</v>
      </c>
      <c r="Z79" s="103">
        <f t="shared" si="22"/>
        <v>0</v>
      </c>
    </row>
    <row r="80" spans="1:26" hidden="1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107996.19646464376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47967.943425741491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hidden="1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1610146.3143700545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1610146.3143700545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hidden="1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170748.12871018023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170748.12871018023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170748.12871018023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3.1417655682673158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3.1417655682673158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70860.473414724795</v>
      </c>
      <c r="W82" s="187">
        <f>J82*IFERROR(VLOOKUP(A82,[1]Tørstofindhold!A$2:B$24,2,FALSE),0)</f>
        <v>0</v>
      </c>
      <c r="X82" s="188">
        <f t="shared" ref="X82:X149" si="26">V82-W82</f>
        <v>70860.473414724795</v>
      </c>
      <c r="Y82" s="168">
        <f t="shared" si="21"/>
        <v>0</v>
      </c>
      <c r="Z82" s="103">
        <f t="shared" si="22"/>
        <v>0</v>
      </c>
    </row>
    <row r="83" spans="1:26" hidden="1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hidden="1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hidden="1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4919361.2689012978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4919361.2689012978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hidden="1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485690.09927992581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485690.09927992581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hidden="1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242845.0496399629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262373.5684356573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-19528.518795694399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hidden="1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155420.83176957627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155420.83176957627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155420.83176957627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5.4397291119351685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5.4397291119351685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hidden="1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377497.15392097726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4141.5438844560822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-1450784.0151965846</v>
      </c>
      <c r="O89" s="190">
        <f t="shared" si="20"/>
        <v>0</v>
      </c>
      <c r="P89" s="200">
        <f t="shared" si="24"/>
        <v>4141.5438844560822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1.1240315764169185E-2</v>
      </c>
      <c r="S89" s="187">
        <f>IFERROR(VLOOKUP(A89,[1]Biogasudbytte!$A$2:$B$18,2,FALSE)*[1]Energiindhold!$C$10,0)*J89*IFERROR(VLOOKUP(A89,Biogasanlæg!$F$3:$G$8,2,FALSE),1)</f>
        <v>1.1240315764169185E-2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828.30877689121644</v>
      </c>
      <c r="W89" s="187">
        <f>J89*IFERROR(VLOOKUP(A89,[1]Tørstofindhold!A$2:B$24,2,FALSE),0)</f>
        <v>828.30877689121644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hidden="1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194127.94896538503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194127.94896538503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hidden="1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131636.61559425521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88343.479805975221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hidden="1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3975134.2408430357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1507565.0660041883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2467569.1748388475</v>
      </c>
      <c r="O92" s="190">
        <f t="shared" si="20"/>
        <v>2467569.1748388475</v>
      </c>
      <c r="P92" s="200">
        <f t="shared" si="24"/>
        <v>1507565.0660041883</v>
      </c>
      <c r="Q92" s="187">
        <f>IFERROR(VLOOKUP(A92,[1]Energiindhold!$A$2:$C$11,3,FALSE),IFERROR(VLOOKUP(A92,[1]Biogasudbytte!$A$2:$B$18,2,FALSE)*[1]Energiindhold!$C$10,0))*O92</f>
        <v>1.2313416939363335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1.9836317375230836</v>
      </c>
      <c r="S92" s="187">
        <f>IFERROR(VLOOKUP(A92,[1]Biogasudbytte!$A$2:$B$18,2,FALSE)*[1]Energiindhold!$C$10,0)*J92*IFERROR(VLOOKUP(A92,Biogasanlæg!$F$3:$G$8,2,FALSE),1)</f>
        <v>0.75229004358675011</v>
      </c>
      <c r="T92" s="188">
        <f t="shared" si="25"/>
        <v>1.2313416939363335</v>
      </c>
      <c r="U92" s="186">
        <f>O92*IFERROR(VLOOKUP(A92,[1]Tørstofindhold!A$2:B$24,2,FALSE),0)</f>
        <v>148054.15049033085</v>
      </c>
      <c r="V92" s="187">
        <f>IF(D92=År1,P92,SUM(O92,P92))*IFERROR(VLOOKUP(A92,[1]Tørstofindhold!A$2:B$24,2,FALSE),0)</f>
        <v>238508.05445058213</v>
      </c>
      <c r="W92" s="187">
        <f>J92*IFERROR(VLOOKUP(A92,[1]Tørstofindhold!A$2:B$24,2,FALSE),0)</f>
        <v>90453.903960251293</v>
      </c>
      <c r="X92" s="188">
        <f t="shared" si="26"/>
        <v>148054.15049033082</v>
      </c>
      <c r="Y92" s="168">
        <f t="shared" si="21"/>
        <v>0</v>
      </c>
      <c r="Z92" s="103">
        <f t="shared" si="22"/>
        <v>1</v>
      </c>
    </row>
    <row r="93" spans="1:26" hidden="1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15422346.485874616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2545966.1788365529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12876380.307038061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2545966.1788365529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1.0968022298427871</v>
      </c>
      <c r="S93" s="187">
        <f>IFERROR(VLOOKUP(A93,[1]Biogasudbytte!$A$2:$B$18,2,FALSE)*[1]Energiindhold!$C$10,0)*J93*IFERROR(VLOOKUP(A93,Biogasanlæg!$F$3:$G$8,2,FALSE),1)</f>
        <v>1.0968022298427871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127298.30894182765</v>
      </c>
      <c r="W93" s="187">
        <f>J93*IFERROR(VLOOKUP(A93,[1]Tørstofindhold!A$2:B$24,2,FALSE),0)</f>
        <v>127298.30894182765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hidden="1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1398490.463052188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1276614.9190035076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hidden="1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97268.074687720597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-96885.574687720597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1</v>
      </c>
      <c r="Z95" s="103">
        <f t="shared" si="22"/>
        <v>0</v>
      </c>
    </row>
    <row r="96" spans="1:26" hidden="1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hidden="1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2205973.8787229857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2205973.8787229857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2205973.8787229857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31.972434404582174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31.972434404582174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1091037.9141850767</v>
      </c>
      <c r="W97" s="187">
        <f>J97*IFERROR(VLOOKUP(A97,[1]Tørstofindhold!A$2:B$24,2,FALSE),0)</f>
        <v>0</v>
      </c>
      <c r="X97" s="188">
        <f t="shared" ca="1" si="26"/>
        <v>1091037.9141850767</v>
      </c>
      <c r="Y97" s="168">
        <f t="shared" ca="1" si="21"/>
        <v>0</v>
      </c>
      <c r="Z97" s="103">
        <f t="shared" ca="1" si="22"/>
        <v>0</v>
      </c>
    </row>
    <row r="98" spans="1:26" hidden="1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606689.01070739387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606689.01070739387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hidden="1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216803.74196206822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182953.77307562341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hidden="1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258348.53377897467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193850.05830378269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hidden="1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389403.53007387661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-191919.39527402743</v>
      </c>
      <c r="O101" s="190">
        <f t="shared" ca="1" si="20"/>
        <v>0</v>
      </c>
      <c r="P101" s="200">
        <f t="shared" ca="1" si="24"/>
        <v>389403.53007387661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1.3266627806439912</v>
      </c>
      <c r="S101" s="187">
        <f ca="1">IFERROR(VLOOKUP(A101,[1]Biogasudbytte!$A$2:$B$18,2,FALSE)*[1]Energiindhold!$C$10,0)*J101*IFERROR(VLOOKUP(A101,Biogasanlæg!$F$3:$G$8,2,FALSE),1)</f>
        <v>1.3266627806439912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109032.98842068546</v>
      </c>
      <c r="W101" s="187">
        <f ca="1">J101*IFERROR(VLOOKUP(A101,[1]Tørstofindhold!A$2:B$24,2,FALSE),0)</f>
        <v>109032.98842068546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hidden="1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353026599.57436532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353026599.57436532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353026599.57436532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hidden="1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9668703.7517421134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6917790.5849595414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2750913.1667825719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hidden="1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1743556.9252391441</v>
      </c>
      <c r="O104" s="190">
        <f t="shared" si="20"/>
        <v>1743556.9252391441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0.99038580016374556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0.99038580016374556</v>
      </c>
      <c r="U104" s="186">
        <f>O104*IFERROR(VLOOKUP(A104,[1]Tørstofindhold!A$2:B$24,2,FALSE),0)</f>
        <v>74560.400524259981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0</v>
      </c>
      <c r="X104" s="188">
        <f t="shared" si="26"/>
        <v>74560.400524259981</v>
      </c>
      <c r="Y104" s="168">
        <f t="shared" si="21"/>
        <v>0</v>
      </c>
      <c r="Z104" s="103">
        <f t="shared" si="22"/>
        <v>1</v>
      </c>
    </row>
    <row r="105" spans="1:26" hidden="1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2585292.5074597793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667318.32127947919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726090.22762539925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1191883.9585549007</v>
      </c>
      <c r="O105" s="190">
        <f t="shared" si="20"/>
        <v>1191883.9585549007</v>
      </c>
      <c r="P105" s="200">
        <f t="shared" si="24"/>
        <v>667318.32127947919</v>
      </c>
      <c r="Q105" s="187">
        <f>IFERROR(VLOOKUP(A105,[1]Energiindhold!$A$2:$C$11,3,FALSE),IFERROR(VLOOKUP(A105,[1]Biogasudbytte!$A$2:$B$18,2,FALSE)*[1]Energiindhold!$C$10,0))*O105</f>
        <v>2.5673180467272561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4.0047217107632544</v>
      </c>
      <c r="S105" s="187">
        <f>IFERROR(VLOOKUP(A105,[1]Biogasudbytte!$A$2:$B$18,2,FALSE)*[1]Energiindhold!$C$10,0)*J105*IFERROR(VLOOKUP(A105,Biogasanlæg!$F$3:$G$8,2,FALSE),1)</f>
        <v>1.4374036640359982</v>
      </c>
      <c r="T105" s="188">
        <f t="shared" si="25"/>
        <v>2.5673180467272561</v>
      </c>
      <c r="U105" s="186">
        <f>O105*IFERROR(VLOOKUP(A105,[1]Tørstofindhold!A$2:B$24,2,FALSE),0)</f>
        <v>357565.18756647018</v>
      </c>
      <c r="V105" s="187">
        <f>IF(D105=År1,P105,SUM(O105,P105))*IFERROR(VLOOKUP(A105,[1]Tørstofindhold!A$2:B$24,2,FALSE),0)</f>
        <v>557760.68395031395</v>
      </c>
      <c r="W105" s="187">
        <f>J105*IFERROR(VLOOKUP(A105,[1]Tørstofindhold!A$2:B$24,2,FALSE),0)</f>
        <v>200195.49638384374</v>
      </c>
      <c r="X105" s="188">
        <f t="shared" si="26"/>
        <v>357565.18756647024</v>
      </c>
      <c r="Y105" s="168">
        <f t="shared" si="21"/>
        <v>0</v>
      </c>
      <c r="Z105" s="103">
        <f t="shared" si="22"/>
        <v>1</v>
      </c>
    </row>
    <row r="106" spans="1:26" hidden="1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hidden="1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8195.1814461661797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4097.5907230830899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4097.5907230830899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4097.5907230830899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1.9270559411587464E-3</v>
      </c>
      <c r="S107" s="187">
        <f>IFERROR(VLOOKUP(A107,[1]Biogasudbytte!$A$2:$B$18,2,FALSE)*[1]Energiindhold!$C$10,0)*J107*IFERROR(VLOOKUP(A107,Biogasanlæg!$F$3:$G$8,2,FALSE),1)</f>
        <v>1.9270559411587464E-3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258.14821555423464</v>
      </c>
      <c r="W107" s="187">
        <f>J107*IFERROR(VLOOKUP(A107,[1]Tørstofindhold!A$2:B$24,2,FALSE),0)</f>
        <v>258.14821555423464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hidden="1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185939.47423661887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149268.674609637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hidden="1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887116.63790834171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887116.63790834171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hidden="1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25941.118107381029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-242037.80224364041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hidden="1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hidden="1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15739257.35497462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11930939.715450086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75396.802843747093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164827.05155386776</v>
      </c>
      <c r="O112" s="190">
        <f t="shared" si="20"/>
        <v>164827.05155386776</v>
      </c>
      <c r="P112" s="200">
        <f t="shared" si="24"/>
        <v>75396.802843747093</v>
      </c>
      <c r="Q112" s="187">
        <f>IFERROR(VLOOKUP(A112,[1]Energiindhold!$A$2:$C$11,3,FALSE),IFERROR(VLOOKUP(A112,[1]Biogasudbytte!$A$2:$B$18,2,FALSE)*[1]Energiindhold!$C$10,0))*O112</f>
        <v>0.30326117147767245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0.44198186410981166</v>
      </c>
      <c r="S112" s="187">
        <f>IFERROR(VLOOKUP(A112,[1]Biogasudbytte!$A$2:$B$18,2,FALSE)*[1]Energiindhold!$C$10,0)*J112*IFERROR(VLOOKUP(A112,Biogasanlæg!$F$3:$G$8,2,FALSE),1)</f>
        <v>0.13872069263213918</v>
      </c>
      <c r="T112" s="188">
        <f t="shared" si="25"/>
        <v>0.30326117147767251</v>
      </c>
      <c r="U112" s="186">
        <f>O112*IFERROR(VLOOKUP(A112,[1]Tørstofindhold!A$2:B$24,2,FALSE),0)</f>
        <v>46151.574435082977</v>
      </c>
      <c r="V112" s="187">
        <f>IF(D112=År1,P112,SUM(O112,P112))*IFERROR(VLOOKUP(A112,[1]Tørstofindhold!A$2:B$24,2,FALSE),0)</f>
        <v>67262.679231332164</v>
      </c>
      <c r="W112" s="187">
        <f>J112*IFERROR(VLOOKUP(A112,[1]Tørstofindhold!A$2:B$24,2,FALSE),0)</f>
        <v>21111.104796249187</v>
      </c>
      <c r="X112" s="188">
        <f t="shared" si="26"/>
        <v>46151.574435082977</v>
      </c>
      <c r="Y112" s="168">
        <f t="shared" si="21"/>
        <v>0</v>
      </c>
      <c r="Z112" s="103">
        <f t="shared" si="22"/>
        <v>1</v>
      </c>
    </row>
    <row r="113" spans="1:26" hidden="1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hidden="1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185013.14539265414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-95659.513290784118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2716655.3712392659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696107.27987490187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728576.62938789232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53173.963978660795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1238797.4979978111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1291971.4619764718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13.110547648987096</v>
      </c>
      <c r="S115" s="187">
        <f>IFERROR(VLOOKUP(A115,[1]Biogasudbytte!$A$2:$B$18,2,FALSE)*[1]Energiindhold!$C$10,0)*J115*IFERROR(VLOOKUP(A115,Biogasanlæg!$F$3:$G$8,2,FALSE),1)</f>
        <v>0.30657661627752797</v>
      </c>
      <c r="T115" s="188">
        <f t="shared" si="25"/>
        <v>12.803971032709567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1098175.7426800011</v>
      </c>
      <c r="W115" s="187">
        <f>J115*IFERROR(VLOOKUP(A115,[1]Tørstofindhold!A$2:B$24,2,FALSE),0)</f>
        <v>45197.869381861674</v>
      </c>
      <c r="X115" s="188">
        <f t="shared" si="26"/>
        <v>1052977.8732981393</v>
      </c>
      <c r="Y115" s="168">
        <f t="shared" si="21"/>
        <v>0</v>
      </c>
      <c r="Z115" s="103">
        <f t="shared" si="22"/>
        <v>0</v>
      </c>
    </row>
    <row r="116" spans="1:26" hidden="1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hidden="1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hidden="1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523843.95069440134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716875.2625727416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-193031.31187834026</v>
      </c>
      <c r="O118" s="190">
        <f t="shared" si="20"/>
        <v>0</v>
      </c>
      <c r="P118" s="200">
        <f t="shared" si="24"/>
        <v>716875.2625727416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2.6403666505350505</v>
      </c>
      <c r="S118" s="187">
        <f>IFERROR(VLOOKUP(A118,[1]Biogasudbytte!$A$2:$B$18,2,FALSE)*[1]Energiindhold!$C$10,0)*J118*IFERROR(VLOOKUP(A118,Biogasanlæg!$F$3:$G$8,2,FALSE),1)</f>
        <v>2.6403666505350505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301087.61028055148</v>
      </c>
      <c r="W118" s="187">
        <f>J118*IFERROR(VLOOKUP(A118,[1]Tørstofindhold!A$2:B$24,2,FALSE),0)</f>
        <v>301087.61028055148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hidden="1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766247.46968224843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766247.46968224843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hidden="1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2145649.2459728522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2017301.4472784156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hidden="1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6841876.8816415966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2843.0448080797141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695651.79907059018</v>
      </c>
      <c r="O121" s="190">
        <f t="shared" si="20"/>
        <v>695651.79907059018</v>
      </c>
      <c r="P121" s="200">
        <f t="shared" si="24"/>
        <v>2843.0448080797141</v>
      </c>
      <c r="Q121" s="187">
        <f>IFERROR(VLOOKUP(A121,[1]Energiindhold!$A$2:$C$11,3,FALSE),IFERROR(VLOOKUP(A121,[1]Biogasudbytte!$A$2:$B$18,2,FALSE)*[1]Energiindhold!$C$10,0))*O121</f>
        <v>2.3825100205649017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2.3922470510063016</v>
      </c>
      <c r="S121" s="187">
        <f>IFERROR(VLOOKUP(A121,[1]Biogasudbytte!$A$2:$B$18,2,FALSE)*[1]Energiindhold!$C$10,0)*J121*IFERROR(VLOOKUP(A121,Biogasanlæg!$F$3:$G$8,2,FALSE),1)</f>
        <v>9.7370304413998913E-3</v>
      </c>
      <c r="T121" s="188">
        <f t="shared" si="25"/>
        <v>2.3825100205649017</v>
      </c>
      <c r="U121" s="186">
        <f>O121*IFERROR(VLOOKUP(A121,[1]Tørstofindhold!A$2:B$24,2,FALSE),0)</f>
        <v>215652.05771188295</v>
      </c>
      <c r="V121" s="187">
        <f>IF(D121=År1,P121,SUM(O121,P121))*IFERROR(VLOOKUP(A121,[1]Tørstofindhold!A$2:B$24,2,FALSE),0)</f>
        <v>216533.40160238766</v>
      </c>
      <c r="W121" s="187">
        <f>J121*IFERROR(VLOOKUP(A121,[1]Tørstofindhold!A$2:B$24,2,FALSE),0)</f>
        <v>881.34389050471134</v>
      </c>
      <c r="X121" s="188">
        <f t="shared" si="26"/>
        <v>215652.05771188295</v>
      </c>
      <c r="Y121" s="168">
        <f t="shared" si="21"/>
        <v>0</v>
      </c>
      <c r="Z121" s="103">
        <f t="shared" si="22"/>
        <v>1</v>
      </c>
    </row>
    <row r="122" spans="1:26" hidden="1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571901.27768575086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-571901.27768575086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hidden="1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13117674.288871367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4064620.7701627249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9053053.5187086407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4064620.7701627249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2.05747038764867</v>
      </c>
      <c r="S123" s="187">
        <f>IFERROR(VLOOKUP(A123,[1]Biogasudbytte!$A$2:$B$18,2,FALSE)*[1]Energiindhold!$C$10,0)*J123*IFERROR(VLOOKUP(A123,Biogasanlæg!$F$3:$G$8,2,FALSE),1)</f>
        <v>2.05747038764867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308911.17853236711</v>
      </c>
      <c r="W123" s="187">
        <f>J123*IFERROR(VLOOKUP(A123,[1]Tørstofindhold!A$2:B$24,2,FALSE),0)</f>
        <v>308911.17853236711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hidden="1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1637278.8284784025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264116.17801577924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hidden="1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7589241.0420488026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314868.82722217118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1082694.722396601</v>
      </c>
      <c r="O125" s="190">
        <f t="shared" si="20"/>
        <v>672895.26170467329</v>
      </c>
      <c r="P125" s="200">
        <f t="shared" si="24"/>
        <v>314868.82722217118</v>
      </c>
      <c r="Q125" s="187">
        <f>IFERROR(VLOOKUP(A125,[1]Energiindhold!$A$2:$C$11,3,FALSE),IFERROR(VLOOKUP(A125,[1]Biogasudbytte!$A$2:$B$18,2,FALSE)*[1]Energiindhold!$C$10,0))*O125</f>
        <v>2.4156939895197773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3.546073079247372</v>
      </c>
      <c r="S125" s="187">
        <f>IFERROR(VLOOKUP(A125,[1]Biogasudbytte!$A$2:$B$18,2,FALSE)*[1]Energiindhold!$C$10,0)*J125*IFERROR(VLOOKUP(A125,Biogasanlæg!$F$3:$G$8,2,FALSE),1)</f>
        <v>1.1303790897275947</v>
      </c>
      <c r="T125" s="188">
        <f t="shared" si="25"/>
        <v>2.4156939895197773</v>
      </c>
      <c r="U125" s="186">
        <f>O125*IFERROR(VLOOKUP(A125,[1]Tørstofindhold!A$2:B$24,2,FALSE),0)</f>
        <v>201868.57851140198</v>
      </c>
      <c r="V125" s="187">
        <f>IF(D125=År1,P125,SUM(O125,P125))*IFERROR(VLOOKUP(A125,[1]Tørstofindhold!A$2:B$24,2,FALSE),0)</f>
        <v>296329.22667805332</v>
      </c>
      <c r="W125" s="187">
        <f>J125*IFERROR(VLOOKUP(A125,[1]Tørstofindhold!A$2:B$24,2,FALSE),0)</f>
        <v>94460.648166651357</v>
      </c>
      <c r="X125" s="188">
        <f t="shared" si="26"/>
        <v>201868.57851140195</v>
      </c>
      <c r="Y125" s="168">
        <f t="shared" si="21"/>
        <v>0</v>
      </c>
      <c r="Z125" s="103">
        <f t="shared" si="22"/>
        <v>1</v>
      </c>
    </row>
    <row r="126" spans="1:26" hidden="1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3159098.4087003632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2668273.8598469133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hidden="1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234547.13045265962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-233668.22813920985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1</v>
      </c>
      <c r="Z127" s="103">
        <f t="shared" si="22"/>
        <v>0</v>
      </c>
    </row>
    <row r="128" spans="1:26" hidden="1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107996.19646464376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45627.628791369178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hidden="1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1610146.3143700545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1610146.3143700545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hidden="1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170748.12871018023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170748.12871018023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170748.12871018023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3.1417655682673158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3.1417655682673158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70860.473414724795</v>
      </c>
      <c r="W130" s="187">
        <f>J130*IFERROR(VLOOKUP(A130,[1]Tørstofindhold!A$2:B$24,2,FALSE),0)</f>
        <v>0</v>
      </c>
      <c r="X130" s="188">
        <f t="shared" si="26"/>
        <v>70860.473414724795</v>
      </c>
      <c r="Y130" s="168">
        <f t="shared" si="21"/>
        <v>0</v>
      </c>
      <c r="Z130" s="103">
        <f t="shared" si="22"/>
        <v>0</v>
      </c>
    </row>
    <row r="131" spans="1:26" hidden="1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hidden="1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4919361.2689012978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4919361.2689012978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hidden="1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485690.09927992581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485690.09927992581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hidden="1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242845.0496399629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262373.5684356573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-19528.518795694399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hidden="1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155420.83176957627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155420.83176957627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155420.83176957627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5.4397291119351685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5.4397291119351685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hidden="1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377497.15392097726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4141.5438844560822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-7096930.4742514342</v>
      </c>
      <c r="O137" s="190">
        <f t="shared" si="39"/>
        <v>0</v>
      </c>
      <c r="P137" s="200">
        <f t="shared" si="24"/>
        <v>4141.5438844560822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1.1240315764169185E-2</v>
      </c>
      <c r="S137" s="187">
        <f>IFERROR(VLOOKUP(A137,[1]Biogasudbytte!$A$2:$B$18,2,FALSE)*[1]Energiindhold!$C$10,0)*J137*IFERROR(VLOOKUP(A137,Biogasanlæg!$F$3:$G$8,2,FALSE),1)</f>
        <v>1.1240315764169185E-2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828.30877689121644</v>
      </c>
      <c r="W137" s="187">
        <f>J137*IFERROR(VLOOKUP(A137,[1]Tørstofindhold!A$2:B$24,2,FALSE),0)</f>
        <v>828.30877689121644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hidden="1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194127.94896538503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194127.94896538503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hidden="1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131636.61559425521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48103.484209200004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83533.131385055211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hidden="1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4125317.5803842121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1564521.9239290934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2560795.6564551187</v>
      </c>
      <c r="O140" s="190">
        <f t="shared" si="39"/>
        <v>2560795.6564551187</v>
      </c>
      <c r="P140" s="200">
        <f t="shared" si="24"/>
        <v>1564521.9239290934</v>
      </c>
      <c r="Q140" s="187">
        <f>IFERROR(VLOOKUP(A140,[1]Energiindhold!$A$2:$C$11,3,FALSE),IFERROR(VLOOKUP(A140,[1]Biogasudbytte!$A$2:$B$18,2,FALSE)*[1]Energiindhold!$C$10,0))*O140</f>
        <v>1.277862640527669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2.0585747257875262</v>
      </c>
      <c r="S140" s="187">
        <f>IFERROR(VLOOKUP(A140,[1]Biogasudbytte!$A$2:$B$18,2,FALSE)*[1]Energiindhold!$C$10,0)*J140*IFERROR(VLOOKUP(A140,Biogasanlæg!$F$3:$G$8,2,FALSE),1)</f>
        <v>0.78071208525985702</v>
      </c>
      <c r="T140" s="188">
        <f t="shared" si="25"/>
        <v>1.2778626405276692</v>
      </c>
      <c r="U140" s="186">
        <f>O140*IFERROR(VLOOKUP(A140,[1]Tørstofindhold!A$2:B$24,2,FALSE),0)</f>
        <v>153647.73938730711</v>
      </c>
      <c r="V140" s="187">
        <f>IF(D140=År1,P140,SUM(O140,P140))*IFERROR(VLOOKUP(A140,[1]Tørstofindhold!A$2:B$24,2,FALSE),0)</f>
        <v>247519.05482305272</v>
      </c>
      <c r="W140" s="187">
        <f>J140*IFERROR(VLOOKUP(A140,[1]Tørstofindhold!A$2:B$24,2,FALSE),0)</f>
        <v>93871.315435745608</v>
      </c>
      <c r="X140" s="188">
        <f t="shared" si="26"/>
        <v>153647.73938730711</v>
      </c>
      <c r="Y140" s="168">
        <f t="shared" si="43"/>
        <v>0</v>
      </c>
      <c r="Z140" s="103">
        <f t="shared" si="44"/>
        <v>1</v>
      </c>
    </row>
    <row r="141" spans="1:26" hidden="1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15422346.485874616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2545966.1788365529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12876380.307038061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2545966.1788365529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1.0968022298427871</v>
      </c>
      <c r="S141" s="187">
        <f>IFERROR(VLOOKUP(A141,[1]Biogasudbytte!$A$2:$B$18,2,FALSE)*[1]Energiindhold!$C$10,0)*J141*IFERROR(VLOOKUP(A141,Biogasanlæg!$F$3:$G$8,2,FALSE),1)</f>
        <v>1.0968022298427871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127298.30894182765</v>
      </c>
      <c r="W141" s="187">
        <f>J141*IFERROR(VLOOKUP(A141,[1]Tørstofindhold!A$2:B$24,2,FALSE),0)</f>
        <v>127298.30894182765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hidden="1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1398490.463052188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1271863.3711094791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hidden="1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97268.074687720597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-96885.574687720597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1</v>
      </c>
      <c r="Z143" s="103">
        <f t="shared" si="44"/>
        <v>0</v>
      </c>
    </row>
    <row r="144" spans="1:26" hidden="1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hidden="1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2033648.7705097673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2033648.7705097673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2033648.7705097673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29.474828575360331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29.474828575360331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1005808.7877479558</v>
      </c>
      <c r="W145" s="187">
        <f>J145*IFERROR(VLOOKUP(A145,[1]Tørstofindhold!A$2:B$24,2,FALSE),0)</f>
        <v>0</v>
      </c>
      <c r="X145" s="188">
        <f t="shared" ca="1" si="26"/>
        <v>1005808.7877479558</v>
      </c>
      <c r="Y145" s="168">
        <f t="shared" ca="1" si="43"/>
        <v>0</v>
      </c>
      <c r="Z145" s="103">
        <f t="shared" ca="1" si="44"/>
        <v>0</v>
      </c>
    </row>
    <row r="146" spans="1:26" hidden="1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563868.14361899148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563868.14361899148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hidden="1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hidden="1" x14ac:dyDescent="0.25">
      <c r="A148" s="189" t="s">
        <v>48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hidden="1" x14ac:dyDescent="0.25">
      <c r="A149" s="189" t="s">
        <v>100</v>
      </c>
      <c r="B149" s="189" t="s">
        <v>228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hidden="1" x14ac:dyDescent="0.25">
      <c r="A150" s="189" t="s">
        <v>107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hidden="1" x14ac:dyDescent="0.25">
      <c r="A151" s="189" t="s">
        <v>108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hidden="1" x14ac:dyDescent="0.25">
      <c r="A152" s="189" t="s">
        <v>206</v>
      </c>
      <c r="B152" s="189" t="s">
        <v>228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hidden="1" x14ac:dyDescent="0.25">
      <c r="A153" s="187" t="s">
        <v>99</v>
      </c>
      <c r="B153" s="189" t="s">
        <v>220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hidden="1" x14ac:dyDescent="0.25">
      <c r="A154" s="187" t="s">
        <v>202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hidden="1" x14ac:dyDescent="0.25">
      <c r="A155" s="187" t="s">
        <v>135</v>
      </c>
      <c r="B155" s="189" t="s">
        <v>220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hidden="1" x14ac:dyDescent="0.25">
      <c r="A156" s="187" t="s">
        <v>94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hidden="1" x14ac:dyDescent="0.25">
      <c r="A157" s="187" t="s">
        <v>111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hidden="1" x14ac:dyDescent="0.25">
      <c r="A158" s="187" t="s">
        <v>53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hidden="1" x14ac:dyDescent="0.25">
      <c r="A159" s="189" t="s">
        <v>156</v>
      </c>
      <c r="B159" s="189" t="s">
        <v>156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hidden="1" x14ac:dyDescent="0.25">
      <c r="A160" s="189" t="s">
        <v>50</v>
      </c>
      <c r="B160" s="189" t="s">
        <v>222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hidden="1" x14ac:dyDescent="0.25">
      <c r="A161" s="189" t="s">
        <v>201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hidden="1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65</v>
      </c>
      <c r="B163" s="189" t="s">
        <v>225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hidden="1" x14ac:dyDescent="0.25">
      <c r="A164" s="189" t="s">
        <v>160</v>
      </c>
      <c r="B164" s="189" t="s">
        <v>228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hidden="1" x14ac:dyDescent="0.25">
      <c r="A165" s="187" t="s">
        <v>157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hidden="1" x14ac:dyDescent="0.25">
      <c r="A166" s="189" t="s">
        <v>101</v>
      </c>
      <c r="B166" s="189" t="s">
        <v>228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hidden="1" x14ac:dyDescent="0.25">
      <c r="A167" s="189" t="s">
        <v>55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hidden="1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hidden="1" x14ac:dyDescent="0.25">
      <c r="A169" s="189" t="s">
        <v>47</v>
      </c>
      <c r="B169" s="189" t="s">
        <v>225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hidden="1" x14ac:dyDescent="0.25">
      <c r="A170" s="189" t="s">
        <v>113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hidden="1" x14ac:dyDescent="0.25">
      <c r="A171" s="189" t="s">
        <v>134</v>
      </c>
      <c r="B171" s="189" t="s">
        <v>220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hidden="1" x14ac:dyDescent="0.25">
      <c r="A172" s="189" t="s">
        <v>106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hidden="1" x14ac:dyDescent="0.25">
      <c r="A173" s="187" t="s">
        <v>52</v>
      </c>
      <c r="B173" s="189" t="s">
        <v>222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hidden="1" x14ac:dyDescent="0.25">
      <c r="A174" s="189" t="s">
        <v>114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hidden="1" x14ac:dyDescent="0.25">
      <c r="A175" s="189" t="s">
        <v>104</v>
      </c>
      <c r="B175" s="189" t="s">
        <v>224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hidden="1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hidden="1" x14ac:dyDescent="0.25">
      <c r="A177" s="189" t="s">
        <v>54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hidden="1" x14ac:dyDescent="0.25">
      <c r="A178" s="189" t="s">
        <v>93</v>
      </c>
      <c r="B178" s="189" t="s">
        <v>223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hidden="1" x14ac:dyDescent="0.25">
      <c r="A179" s="189" t="s">
        <v>301</v>
      </c>
      <c r="B179" s="189" t="s">
        <v>307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hidden="1" x14ac:dyDescent="0.25">
      <c r="A180" s="189" t="s">
        <v>302</v>
      </c>
      <c r="B180" s="189" t="s">
        <v>307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hidden="1" x14ac:dyDescent="0.25">
      <c r="A181" s="189" t="s">
        <v>115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hidden="1" x14ac:dyDescent="0.25">
      <c r="A182" s="187" t="s">
        <v>49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hidden="1" x14ac:dyDescent="0.25">
      <c r="A183" s="187" t="s">
        <v>236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hidden="1" x14ac:dyDescent="0.25">
      <c r="A184" s="187" t="s">
        <v>229</v>
      </c>
      <c r="B184" s="189" t="s">
        <v>229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hidden="1" x14ac:dyDescent="0.25">
      <c r="A185" s="187" t="s">
        <v>51</v>
      </c>
      <c r="B185" s="189" t="s">
        <v>222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hidden="1" x14ac:dyDescent="0.25">
      <c r="A186" s="187" t="s">
        <v>119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hidden="1" x14ac:dyDescent="0.25">
      <c r="A187" s="187" t="s">
        <v>105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hidden="1" x14ac:dyDescent="0.25">
      <c r="A188" s="189" t="s">
        <v>138</v>
      </c>
      <c r="B188" s="189" t="s">
        <v>228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hidden="1" x14ac:dyDescent="0.25">
      <c r="A189" s="189" t="s">
        <v>133</v>
      </c>
      <c r="B189" s="189" t="s">
        <v>220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hidden="1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hidden="1" x14ac:dyDescent="0.25">
      <c r="A191" s="189" t="s">
        <v>97</v>
      </c>
      <c r="B191" s="189" t="s">
        <v>224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hidden="1" x14ac:dyDescent="0.25">
      <c r="A192" s="189" t="s">
        <v>102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hidden="1" x14ac:dyDescent="0.25">
      <c r="A193" s="189" t="s">
        <v>117</v>
      </c>
      <c r="B193" s="189" t="s">
        <v>223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hidden="1" x14ac:dyDescent="0.25">
      <c r="A194" s="189" t="s">
        <v>116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hidden="1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18196.258037931766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-10013.082086696773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26978.814349339031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19062.197595598933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hidden="1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338356.39370541024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-169443.64794704824</v>
      </c>
      <c r="O197" s="190">
        <f t="shared" ca="1" si="59"/>
        <v>0</v>
      </c>
      <c r="P197" s="200">
        <f t="shared" ca="1" si="49"/>
        <v>338356.39370541024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1.1527497812788994</v>
      </c>
      <c r="S197" s="187">
        <f ca="1">IFERROR(VLOOKUP(A197,[1]Biogasudbytte!$A$2:$B$18,2,FALSE)*[1]Energiindhold!$C$10,0)*J197*IFERROR(VLOOKUP(A197,Biogasanlæg!$F$3:$G$8,2,FALSE),1)</f>
        <v>1.1527497812788994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94739.79023751487</v>
      </c>
      <c r="W197" s="187">
        <f ca="1">J197*IFERROR(VLOOKUP(A197,[1]Tørstofindhold!A$2:B$24,2,FALSE),0)</f>
        <v>94739.79023751487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hidden="1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111865247.40114897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111865247.40114897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111865247.40114897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hidden="1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2513930.8578663631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1819485.5027623358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694445.35510402732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hidden="1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138068.49935653029</v>
      </c>
      <c r="O200" s="190">
        <f t="shared" si="59"/>
        <v>138068.49935653029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7.8426508038370812E-2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7.8426508038370812E-2</v>
      </c>
      <c r="U200" s="186">
        <f>O200*IFERROR(VLOOKUP(A200,[1]Tørstofindhold!A$2:B$24,2,FALSE),0)</f>
        <v>5904.2767475999999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0</v>
      </c>
      <c r="X200" s="188">
        <f t="shared" si="51"/>
        <v>5904.2767475999999</v>
      </c>
      <c r="Y200" s="168">
        <f t="shared" si="60"/>
        <v>0</v>
      </c>
      <c r="Z200" s="103">
        <f t="shared" si="61"/>
        <v>1</v>
      </c>
    </row>
    <row r="201" spans="1:26" hidden="1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347777.4925402216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89768.678720521071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97674.765231743775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160334.04858795676</v>
      </c>
      <c r="O201" s="190">
        <f t="shared" si="59"/>
        <v>160334.04858795676</v>
      </c>
      <c r="P201" s="200">
        <f t="shared" si="49"/>
        <v>89768.678720521071</v>
      </c>
      <c r="Q201" s="187">
        <f>IFERROR(VLOOKUP(A201,[1]Energiindhold!$A$2:$C$11,3,FALSE),IFERROR(VLOOKUP(A201,[1]Biogasudbytte!$A$2:$B$18,2,FALSE)*[1]Energiindhold!$C$10,0))*O201</f>
        <v>0.34535954065845886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0.53872127462246122</v>
      </c>
      <c r="S201" s="187">
        <f>IFERROR(VLOOKUP(A201,[1]Biogasudbytte!$A$2:$B$18,2,FALSE)*[1]Energiindhold!$C$10,0)*J201*IFERROR(VLOOKUP(A201,Biogasanlæg!$F$3:$G$8,2,FALSE),1)</f>
        <v>0.19336173396400239</v>
      </c>
      <c r="T201" s="188">
        <f t="shared" si="50"/>
        <v>0.34535954065845886</v>
      </c>
      <c r="U201" s="186">
        <f>O201*IFERROR(VLOOKUP(A201,[1]Tørstofindhold!A$2:B$24,2,FALSE),0)</f>
        <v>48100.214576387029</v>
      </c>
      <c r="V201" s="187">
        <f>IF(D201=År1,P201,SUM(O201,P201))*IFERROR(VLOOKUP(A201,[1]Tørstofindhold!A$2:B$24,2,FALSE),0)</f>
        <v>75030.818192543346</v>
      </c>
      <c r="W201" s="187">
        <f>J201*IFERROR(VLOOKUP(A201,[1]Tørstofindhold!A$2:B$24,2,FALSE),0)</f>
        <v>26930.603616156321</v>
      </c>
      <c r="X201" s="188">
        <f t="shared" si="51"/>
        <v>48100.214576387021</v>
      </c>
      <c r="Y201" s="168">
        <f t="shared" si="60"/>
        <v>0</v>
      </c>
      <c r="Z201" s="103">
        <f t="shared" si="61"/>
        <v>1</v>
      </c>
    </row>
    <row r="202" spans="1:26" hidden="1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hidden="1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687.81855383382072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343.90927691691036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343.90927691691041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343.90927691691036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1.6173709384125376E-4</v>
      </c>
      <c r="S203" s="187">
        <f>IFERROR(VLOOKUP(A203,[1]Biogasudbytte!$A$2:$B$18,2,FALSE)*[1]Energiindhold!$C$10,0)*J203*IFERROR(VLOOKUP(A203,Biogasanlæg!$F$3:$G$8,2,FALSE),1)</f>
        <v>1.6173709384125376E-4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21.666284445765353</v>
      </c>
      <c r="W203" s="187">
        <f>J203*IFERROR(VLOOKUP(A203,[1]Tørstofindhold!A$2:B$24,2,FALSE),0)</f>
        <v>21.666284445765353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hidden="1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15605.83144011804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-14954.287028229544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hidden="1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621027.97254810657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621027.97254810657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hidden="1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15785.543070632491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-207538.39958267679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hidden="1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hidden="1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2146014.9847131255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10280.197156252889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388767.95719802892</v>
      </c>
      <c r="O208" s="190">
        <f t="shared" si="59"/>
        <v>388767.95719802892</v>
      </c>
      <c r="P208" s="200">
        <f t="shared" si="49"/>
        <v>10280.197156252889</v>
      </c>
      <c r="Q208" s="187">
        <f>IFERROR(VLOOKUP(A208,[1]Energiindhold!$A$2:$C$11,3,FALSE),IFERROR(VLOOKUP(A208,[1]Biogasudbytte!$A$2:$B$18,2,FALSE)*[1]Energiindhold!$C$10,0))*O208</f>
        <v>0.71528444524972346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0.73419872299258426</v>
      </c>
      <c r="S208" s="187">
        <f>IFERROR(VLOOKUP(A208,[1]Biogasudbytte!$A$2:$B$18,2,FALSE)*[1]Energiindhold!$C$10,0)*J208*IFERROR(VLOOKUP(A208,Biogasanlæg!$F$3:$G$8,2,FALSE),1)</f>
        <v>1.8914277742860783E-2</v>
      </c>
      <c r="T208" s="188">
        <f t="shared" si="50"/>
        <v>0.71528444524972346</v>
      </c>
      <c r="U208" s="186">
        <f>O208*IFERROR(VLOOKUP(A208,[1]Tørstofindhold!A$2:B$24,2,FALSE),0)</f>
        <v>108855.0280154481</v>
      </c>
      <c r="V208" s="187">
        <f>IF(D208=År1,P208,SUM(O208,P208))*IFERROR(VLOOKUP(A208,[1]Tørstofindhold!A$2:B$24,2,FALSE),0)</f>
        <v>111733.48321919891</v>
      </c>
      <c r="W208" s="187">
        <f>J208*IFERROR(VLOOKUP(A208,[1]Tørstofindhold!A$2:B$24,2,FALSE),0)</f>
        <v>2878.4552037508092</v>
      </c>
      <c r="X208" s="188">
        <f t="shared" si="51"/>
        <v>108855.0280154481</v>
      </c>
      <c r="Y208" s="168">
        <f t="shared" si="60"/>
        <v>0</v>
      </c>
      <c r="Z208" s="103">
        <f t="shared" si="61"/>
        <v>1</v>
      </c>
    </row>
    <row r="209" spans="1:26" hidden="1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hidden="1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95306.051606825611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-138596.39359321937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954725.55443126068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103768.80055910767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22760.036021339201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742755.71302616922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765515.74904750846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7.8082031052066174</v>
      </c>
      <c r="S211" s="187">
        <f>IFERROR(VLOOKUP(A211,[1]Biogasudbytte!$A$2:$B$18,2,FALSE)*[1]Energiindhold!$C$10,0)*J211*IFERROR(VLOOKUP(A211,Biogasanlæg!$F$3:$G$8,2,FALSE),1)</f>
        <v>0.13122389808247203</v>
      </c>
      <c r="T211" s="188">
        <f t="shared" si="50"/>
        <v>7.6769792071241456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650688.38669038215</v>
      </c>
      <c r="W211" s="187">
        <f>J211*IFERROR(VLOOKUP(A211,[1]Tørstofindhold!A$2:B$24,2,FALSE),0)</f>
        <v>19346.03061813832</v>
      </c>
      <c r="X211" s="188">
        <f t="shared" si="51"/>
        <v>631342.35607224377</v>
      </c>
      <c r="Y211" s="168">
        <f t="shared" si="60"/>
        <v>0</v>
      </c>
      <c r="Z211" s="103">
        <f t="shared" si="61"/>
        <v>0</v>
      </c>
    </row>
    <row r="212" spans="1:26" hidden="1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hidden="1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hidden="1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203043.60132106068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277863.15909117949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-74819.557770118816</v>
      </c>
      <c r="O214" s="190">
        <f t="shared" si="59"/>
        <v>0</v>
      </c>
      <c r="P214" s="200">
        <f t="shared" si="49"/>
        <v>277863.15909117949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1.0234146119698484</v>
      </c>
      <c r="S214" s="187">
        <f>IFERROR(VLOOKUP(A214,[1]Biogasudbytte!$A$2:$B$18,2,FALSE)*[1]Energiindhold!$C$10,0)*J214*IFERROR(VLOOKUP(A214,Biogasanlæg!$F$3:$G$8,2,FALSE),1)</f>
        <v>1.0234146119698484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116702.52681829539</v>
      </c>
      <c r="W214" s="187">
        <f>J214*IFERROR(VLOOKUP(A214,[1]Tørstofindhold!A$2:B$24,2,FALSE),0)</f>
        <v>116702.52681829539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hidden="1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145676.42027029704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145676.42027029704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hidden="1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116599.33594982738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9638.9213106108218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hidden="1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2269251.3708149861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942.95519192028598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1290354.2208588636</v>
      </c>
      <c r="O217" s="190">
        <f t="shared" si="59"/>
        <v>1290354.2208588636</v>
      </c>
      <c r="P217" s="200">
        <f t="shared" si="63"/>
        <v>942.95519192028598</v>
      </c>
      <c r="Q217" s="187">
        <f>IFERROR(VLOOKUP(A217,[1]Energiindhold!$A$2:$C$11,3,FALSE),IFERROR(VLOOKUP(A217,[1]Biogasudbytte!$A$2:$B$18,2,FALSE)*[1]Energiindhold!$C$10,0))*O217</f>
        <v>4.4192825568506882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4.4225120463692882</v>
      </c>
      <c r="S217" s="187">
        <f>IFERROR(VLOOKUP(A217,[1]Biogasudbytte!$A$2:$B$18,2,FALSE)*[1]Energiindhold!$C$10,0)*J217*IFERROR(VLOOKUP(A217,Biogasanlæg!$F$3:$G$8,2,FALSE),1)</f>
        <v>3.2294895186001111E-3</v>
      </c>
      <c r="T217" s="188">
        <f t="shared" si="64"/>
        <v>4.4192825568506882</v>
      </c>
      <c r="U217" s="186">
        <f>O217*IFERROR(VLOOKUP(A217,[1]Tørstofindhold!A$2:B$24,2,FALSE),0)</f>
        <v>400009.80846624769</v>
      </c>
      <c r="V217" s="187">
        <f>IF(D217=År1,P217,SUM(O217,P217))*IFERROR(VLOOKUP(A217,[1]Tørstofindhold!A$2:B$24,2,FALSE),0)</f>
        <v>400302.12457574299</v>
      </c>
      <c r="W217" s="187">
        <f>J217*IFERROR(VLOOKUP(A217,[1]Tørstofindhold!A$2:B$24,2,FALSE),0)</f>
        <v>292.31610949528863</v>
      </c>
      <c r="X217" s="188">
        <f t="shared" si="65"/>
        <v>400009.80846624769</v>
      </c>
      <c r="Y217" s="168">
        <f t="shared" si="60"/>
        <v>0</v>
      </c>
      <c r="Z217" s="103">
        <f t="shared" si="61"/>
        <v>1</v>
      </c>
    </row>
    <row r="218" spans="1:26" hidden="1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375374.67193375825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-375374.67193375825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hidden="1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932325.71112863347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288888.89650394162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643436.81462469185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288888.89650394162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0.14623267052133024</v>
      </c>
      <c r="S219" s="187">
        <f>IFERROR(VLOOKUP(A219,[1]Biogasudbytte!$A$2:$B$18,2,FALSE)*[1]Energiindhold!$C$10,0)*J219*IFERROR(VLOOKUP(A219,Biogasanlæg!$F$3:$G$8,2,FALSE),1)</f>
        <v>0.14623267052133024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21955.556134299564</v>
      </c>
      <c r="W219" s="187">
        <f>J219*IFERROR(VLOOKUP(A219,[1]Tørstofindhold!A$2:B$24,2,FALSE),0)</f>
        <v>21955.556134299564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hidden="1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116367.97152159807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-52175.584960505003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hidden="1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365331.29920084751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15157.172777828771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-354640.08743358485</v>
      </c>
      <c r="O221" s="190">
        <f t="shared" si="59"/>
        <v>0</v>
      </c>
      <c r="P221" s="200">
        <f t="shared" si="63"/>
        <v>15157.172777828771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5.4414250272405297E-2</v>
      </c>
      <c r="S221" s="187">
        <f>IFERROR(VLOOKUP(A221,[1]Biogasudbytte!$A$2:$B$18,2,FALSE)*[1]Energiindhold!$C$10,0)*J221*IFERROR(VLOOKUP(A221,Biogasanlæg!$F$3:$G$8,2,FALSE),1)</f>
        <v>5.4414250272405297E-2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4547.151833348631</v>
      </c>
      <c r="W221" s="187">
        <f>J221*IFERROR(VLOOKUP(A221,[1]Tørstofindhold!A$2:B$24,2,FALSE),0)</f>
        <v>4547.151833348631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hidden="1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224529.79129963685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-184505.64050747702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hidden="1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-17271.952372917847</v>
      </c>
      <c r="O223" s="190">
        <f t="shared" si="59"/>
        <v>0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0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0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0</v>
      </c>
      <c r="U223" s="186">
        <f>O223*IFERROR(VLOOKUP(A223,[1]Tørstofindhold!A$2:B$24,2,FALSE),0)</f>
        <v>0</v>
      </c>
      <c r="V223" s="187">
        <f>IF(D223=År1,P223,SUM(O223,P223))*IFERROR(VLOOKUP(A223,[1]Tørstofindhold!A$2:B$24,2,FALSE),0)</f>
        <v>0</v>
      </c>
      <c r="W223" s="187">
        <f>J223*IFERROR(VLOOKUP(A223,[1]Tørstofindhold!A$2:B$24,2,FALSE),0)</f>
        <v>0</v>
      </c>
      <c r="X223" s="188">
        <f t="shared" si="65"/>
        <v>0</v>
      </c>
      <c r="Y223" s="168">
        <f t="shared" si="60"/>
        <v>1</v>
      </c>
      <c r="Z223" s="103">
        <f t="shared" si="61"/>
        <v>0</v>
      </c>
    </row>
    <row r="224" spans="1:26" hidden="1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7675.7227272754371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-44299.986452352641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hidden="1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395582.15440421121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395582.15440421121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hidden="1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38930.749033080756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38930.749033080756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38930.749033080756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0.71632578220868581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0.71632578220868581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16156.260848728514</v>
      </c>
      <c r="W226" s="187">
        <f>J226*IFERROR(VLOOKUP(A226,[1]Tørstofindhold!A$2:B$24,2,FALSE),0)</f>
        <v>0</v>
      </c>
      <c r="X226" s="188">
        <f t="shared" si="65"/>
        <v>16156.260848728514</v>
      </c>
      <c r="Y226" s="168">
        <f t="shared" si="60"/>
        <v>0</v>
      </c>
      <c r="Z226" s="103">
        <f t="shared" si="61"/>
        <v>0</v>
      </c>
    </row>
    <row r="227" spans="1:26" hidden="1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hidden="1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hidden="1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349638.73109870247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349638.73109870247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hidden="1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192597.21080122079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192597.21080122079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hidden="1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96298.605400610395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64094.573098866822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hidden="1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61631.107456390651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61631.107456390651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61631.107456390651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2.1570887609736724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2.1570887609736724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hidden="1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2233462.9797265115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24503.456115543915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1985062.536714959</v>
      </c>
      <c r="O233" s="190">
        <f t="shared" si="59"/>
        <v>534278.52151837433</v>
      </c>
      <c r="P233" s="200">
        <f t="shared" si="63"/>
        <v>24503.456115543915</v>
      </c>
      <c r="Q233" s="187">
        <f>IFERROR(VLOOKUP(A233,[1]Energiindhold!$A$2:$C$11,3,FALSE),IFERROR(VLOOKUP(A233,[1]Biogasudbytte!$A$2:$B$18,2,FALSE)*[1]Energiindhold!$C$10,0))*O233</f>
        <v>1.4500532785417286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1.5165566385775595</v>
      </c>
      <c r="S233" s="187">
        <f>IFERROR(VLOOKUP(A233,[1]Biogasudbytte!$A$2:$B$18,2,FALSE)*[1]Energiindhold!$C$10,0)*J233*IFERROR(VLOOKUP(A233,Biogasanlæg!$F$3:$G$8,2,FALSE),1)</f>
        <v>6.6503360035830808E-2</v>
      </c>
      <c r="T233" s="188">
        <f t="shared" si="64"/>
        <v>1.4500532785417286</v>
      </c>
      <c r="U233" s="186">
        <f>O233*IFERROR(VLOOKUP(A233,[1]Tørstofindhold!A$2:B$24,2,FALSE),0)</f>
        <v>106855.70430367487</v>
      </c>
      <c r="V233" s="187">
        <f>IF(D233=År1,P233,SUM(O233,P233))*IFERROR(VLOOKUP(A233,[1]Tørstofindhold!A$2:B$24,2,FALSE),0)</f>
        <v>111756.39552678366</v>
      </c>
      <c r="W233" s="187">
        <f>J233*IFERROR(VLOOKUP(A233,[1]Tørstofindhold!A$2:B$24,2,FALSE),0)</f>
        <v>4900.6912231087836</v>
      </c>
      <c r="X233" s="188">
        <f t="shared" si="65"/>
        <v>106855.70430367488</v>
      </c>
      <c r="Y233" s="168">
        <f t="shared" si="60"/>
        <v>0</v>
      </c>
      <c r="Z233" s="103">
        <f t="shared" si="61"/>
        <v>1</v>
      </c>
    </row>
    <row r="234" spans="1:26" hidden="1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22882.418470138211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22882.418470138211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hidden="1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18563.363450936293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13249.514378096294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hidden="1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3344141.0315732658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1268261.6207501648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2075879.4108231009</v>
      </c>
      <c r="O236" s="190">
        <f t="shared" si="59"/>
        <v>2075879.4108231009</v>
      </c>
      <c r="P236" s="200">
        <f t="shared" si="63"/>
        <v>1268261.6207501648</v>
      </c>
      <c r="Q236" s="187">
        <f>IFERROR(VLOOKUP(A236,[1]Energiindhold!$A$2:$C$11,3,FALSE),IFERROR(VLOOKUP(A236,[1]Biogasudbytte!$A$2:$B$18,2,FALSE)*[1]Energiindhold!$C$10,0))*O236</f>
        <v>1.0358845847948357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1.6687598161653754</v>
      </c>
      <c r="S236" s="187">
        <f>IFERROR(VLOOKUP(A236,[1]Biogasudbytte!$A$2:$B$18,2,FALSE)*[1]Energiindhold!$C$10,0)*J236*IFERROR(VLOOKUP(A236,Biogasanlæg!$F$3:$G$8,2,FALSE),1)</f>
        <v>0.6328752313705398</v>
      </c>
      <c r="T236" s="188">
        <f t="shared" si="64"/>
        <v>1.0358845847948355</v>
      </c>
      <c r="U236" s="186">
        <f>O236*IFERROR(VLOOKUP(A236,[1]Tørstofindhold!A$2:B$24,2,FALSE),0)</f>
        <v>124552.76464938605</v>
      </c>
      <c r="V236" s="187">
        <f>IF(D236=År1,P236,SUM(O236,P236))*IFERROR(VLOOKUP(A236,[1]Tørstofindhold!A$2:B$24,2,FALSE),0)</f>
        <v>200648.46189439594</v>
      </c>
      <c r="W236" s="187">
        <f>J236*IFERROR(VLOOKUP(A236,[1]Tørstofindhold!A$2:B$24,2,FALSE),0)</f>
        <v>76095.697245009884</v>
      </c>
      <c r="X236" s="188">
        <f t="shared" si="65"/>
        <v>124552.76464938605</v>
      </c>
      <c r="Y236" s="168">
        <f t="shared" si="60"/>
        <v>0</v>
      </c>
      <c r="Z236" s="103">
        <f t="shared" si="61"/>
        <v>1</v>
      </c>
    </row>
    <row r="237" spans="1:26" hidden="1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2234653.5141253849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368903.15449678036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1865750.3596286045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368903.15449678036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0.15892347895721301</v>
      </c>
      <c r="S237" s="187">
        <f>IFERROR(VLOOKUP(A237,[1]Biogasudbytte!$A$2:$B$18,2,FALSE)*[1]Energiindhold!$C$10,0)*J237*IFERROR(VLOOKUP(A237,Biogasanlæg!$F$3:$G$8,2,FALSE),1)</f>
        <v>0.15892347895721301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18445.15772483902</v>
      </c>
      <c r="W237" s="187">
        <f>J237*IFERROR(VLOOKUP(A237,[1]Tørstofindhold!A$2:B$24,2,FALSE),0)</f>
        <v>18445.15772483902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hidden="1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202637.2336137525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97110.793764204573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hidden="1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-11938.794894044118</v>
      </c>
      <c r="O239" s="190">
        <f t="shared" si="59"/>
        <v>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0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0</v>
      </c>
      <c r="U239" s="186">
        <f>O239*IFERROR(VLOOKUP(A239,[1]Tørstofindhold!A$2:B$24,2,FALSE),0)</f>
        <v>0</v>
      </c>
      <c r="V239" s="187">
        <f>IF(D239=År1,P239,SUM(O239,P239))*IFERROR(VLOOKUP(A239,[1]Tørstofindhold!A$2:B$24,2,FALSE),0)</f>
        <v>0</v>
      </c>
      <c r="W239" s="187">
        <f>J239*IFERROR(VLOOKUP(A239,[1]Tørstofindhold!A$2:B$24,2,FALSE),0)</f>
        <v>0</v>
      </c>
      <c r="X239" s="188">
        <f t="shared" si="65"/>
        <v>0</v>
      </c>
      <c r="Y239" s="168">
        <f t="shared" si="60"/>
        <v>1</v>
      </c>
      <c r="Z239" s="103">
        <f t="shared" si="61"/>
        <v>0</v>
      </c>
    </row>
    <row r="240" spans="1:26" hidden="1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hidden="1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645699.16624088504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645699.16624088504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645699.16624088504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9.3584853550854437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9.3584853550854437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319352.04596997105</v>
      </c>
      <c r="W241" s="187">
        <f>J241*IFERROR(VLOOKUP(A241,[1]Tørstofindhold!A$2:B$24,2,FALSE),0)</f>
        <v>0</v>
      </c>
      <c r="X241" s="188">
        <f t="shared" ca="1" si="65"/>
        <v>319352.04596997105</v>
      </c>
      <c r="Y241" s="168">
        <f t="shared" ca="1" si="60"/>
        <v>0</v>
      </c>
      <c r="Z241" s="103">
        <f t="shared" ca="1" si="61"/>
        <v>0</v>
      </c>
    </row>
    <row r="242" spans="1:26" hidden="1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177580.79193940628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177580.79193940628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hidden="1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18196.258037931766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-11335.743982170188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hidden="1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26978.814349339031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19062.197595598933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hidden="1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339730.46992612345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-167437.78961637311</v>
      </c>
      <c r="O245" s="190">
        <f t="shared" ca="1" si="59"/>
        <v>0</v>
      </c>
      <c r="P245" s="200">
        <f t="shared" ca="1" si="63"/>
        <v>339730.46992612345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1.1574311352960094</v>
      </c>
      <c r="S245" s="187">
        <f ca="1">IFERROR(VLOOKUP(A245,[1]Biogasudbytte!$A$2:$B$18,2,FALSE)*[1]Energiindhold!$C$10,0)*J245*IFERROR(VLOOKUP(A245,Biogasanlæg!$F$3:$G$8,2,FALSE),1)</f>
        <v>1.1574311352960094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95124.531579314571</v>
      </c>
      <c r="W245" s="187">
        <f ca="1">J245*IFERROR(VLOOKUP(A245,[1]Tørstofindhold!A$2:B$24,2,FALSE),0)</f>
        <v>95124.531579314571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hidden="1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112913997.30612569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112913997.30612569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112913997.30612569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hidden="1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2570559.5792043223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1839190.9930938925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731368.58611042984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hidden="1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214006.17400262193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214006.17400262193</v>
      </c>
      <c r="O248" s="190">
        <f t="shared" si="59"/>
        <v>214006.17400262193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0.12156108745947475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0.12156108745947475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0.12156108745947475</v>
      </c>
      <c r="U248" s="186">
        <f>O248*IFERROR(VLOOKUP(A248,[1]Tørstofindhold!A$2:B$24,2,FALSE),0)</f>
        <v>9151.6289587800002</v>
      </c>
      <c r="V248" s="187">
        <f>IF(D248=År1,P248,SUM(O248,P248))*IFERROR(VLOOKUP(A248,[1]Tørstofindhold!A$2:B$24,2,FALSE),0)</f>
        <v>9151.6289587800002</v>
      </c>
      <c r="W248" s="187">
        <f>J248*IFERROR(VLOOKUP(A248,[1]Tørstofindhold!A$2:B$24,2,FALSE),0)</f>
        <v>0</v>
      </c>
      <c r="X248" s="188">
        <f t="shared" si="65"/>
        <v>9151.6289587800002</v>
      </c>
      <c r="Y248" s="168">
        <f t="shared" si="60"/>
        <v>0</v>
      </c>
      <c r="Z248" s="103">
        <f t="shared" si="61"/>
        <v>1</v>
      </c>
    </row>
    <row r="249" spans="1:26" hidden="1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347777.4925402216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89768.678720521071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97674.765231743775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160334.04858795676</v>
      </c>
      <c r="O249" s="190">
        <f t="shared" si="59"/>
        <v>160334.04858795676</v>
      </c>
      <c r="P249" s="200">
        <f t="shared" si="63"/>
        <v>89768.678720521071</v>
      </c>
      <c r="Q249" s="187">
        <f>IFERROR(VLOOKUP(A249,[1]Energiindhold!$A$2:$C$11,3,FALSE),IFERROR(VLOOKUP(A249,[1]Biogasudbytte!$A$2:$B$18,2,FALSE)*[1]Energiindhold!$C$10,0))*O249</f>
        <v>0.34535954065845886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0.53872127462246122</v>
      </c>
      <c r="S249" s="187">
        <f>IFERROR(VLOOKUP(A249,[1]Biogasudbytte!$A$2:$B$18,2,FALSE)*[1]Energiindhold!$C$10,0)*J249*IFERROR(VLOOKUP(A249,Biogasanlæg!$F$3:$G$8,2,FALSE),1)</f>
        <v>0.19336173396400239</v>
      </c>
      <c r="T249" s="188">
        <f t="shared" si="64"/>
        <v>0.34535954065845886</v>
      </c>
      <c r="U249" s="186">
        <f>O249*IFERROR(VLOOKUP(A249,[1]Tørstofindhold!A$2:B$24,2,FALSE),0)</f>
        <v>48100.214576387029</v>
      </c>
      <c r="V249" s="187">
        <f>IF(D249=År1,P249,SUM(O249,P249))*IFERROR(VLOOKUP(A249,[1]Tørstofindhold!A$2:B$24,2,FALSE),0)</f>
        <v>75030.818192543346</v>
      </c>
      <c r="W249" s="187">
        <f>J249*IFERROR(VLOOKUP(A249,[1]Tørstofindhold!A$2:B$24,2,FALSE),0)</f>
        <v>26930.603616156321</v>
      </c>
      <c r="X249" s="188">
        <f t="shared" si="65"/>
        <v>48100.214576387021</v>
      </c>
      <c r="Y249" s="168">
        <f t="shared" si="60"/>
        <v>0</v>
      </c>
      <c r="Z249" s="103">
        <f t="shared" si="61"/>
        <v>1</v>
      </c>
    </row>
    <row r="250" spans="1:26" hidden="1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150732.71226225884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152186.83601199096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hidden="1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687.81855383382072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343.90927691691036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343.90927691691041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343.90927691691036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1.6173709384125376E-4</v>
      </c>
      <c r="S251" s="187">
        <f>IFERROR(VLOOKUP(A251,[1]Biogasudbytte!$A$2:$B$18,2,FALSE)*[1]Energiindhold!$C$10,0)*J251*IFERROR(VLOOKUP(A251,Biogasanlæg!$F$3:$G$8,2,FALSE),1)</f>
        <v>1.6173709384125376E-4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21.666284445765353</v>
      </c>
      <c r="W251" s="187">
        <f>J251*IFERROR(VLOOKUP(A251,[1]Tørstofindhold!A$2:B$24,2,FALSE),0)</f>
        <v>21.666284445765353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hidden="1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15605.83144011804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-16387.170748325745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hidden="1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621027.97254810657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621027.97254810657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hidden="1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15785.543070632491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-218009.47292184131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hidden="1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hidden="1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2146014.9847131255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1464417.2058845724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10280.197156252889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437951.91793512081</v>
      </c>
      <c r="N256" s="199">
        <f t="shared" si="62"/>
        <v>233365.66373717948</v>
      </c>
      <c r="O256" s="190">
        <f t="shared" si="59"/>
        <v>233365.66373717948</v>
      </c>
      <c r="P256" s="200">
        <f t="shared" si="63"/>
        <v>10280.197156252889</v>
      </c>
      <c r="Q256" s="187">
        <f>IFERROR(VLOOKUP(A256,[1]Energiindhold!$A$2:$C$11,3,FALSE),IFERROR(VLOOKUP(A256,[1]Biogasudbytte!$A$2:$B$18,2,FALSE)*[1]Energiindhold!$C$10,0))*O256</f>
        <v>0.42936365056844311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0.44827792831130392</v>
      </c>
      <c r="S256" s="187">
        <f>IFERROR(VLOOKUP(A256,[1]Biogasudbytte!$A$2:$B$18,2,FALSE)*[1]Energiindhold!$C$10,0)*J256*IFERROR(VLOOKUP(A256,Biogasanlæg!$F$3:$G$8,2,FALSE),1)</f>
        <v>1.8914277742860783E-2</v>
      </c>
      <c r="T256" s="188">
        <f t="shared" si="64"/>
        <v>0.42936365056844311</v>
      </c>
      <c r="U256" s="186">
        <f>O256*IFERROR(VLOOKUP(A256,[1]Tørstofindhold!A$2:B$24,2,FALSE),0)</f>
        <v>65342.38584641026</v>
      </c>
      <c r="V256" s="187">
        <f>IF(D256=År1,P256,SUM(O256,P256))*IFERROR(VLOOKUP(A256,[1]Tørstofindhold!A$2:B$24,2,FALSE),0)</f>
        <v>68220.841050161063</v>
      </c>
      <c r="W256" s="187">
        <f>J256*IFERROR(VLOOKUP(A256,[1]Tørstofindhold!A$2:B$24,2,FALSE),0)</f>
        <v>2878.4552037508092</v>
      </c>
      <c r="X256" s="188">
        <f t="shared" si="65"/>
        <v>65342.385846410252</v>
      </c>
      <c r="Y256" s="168">
        <f t="shared" si="60"/>
        <v>0</v>
      </c>
      <c r="Z256" s="103">
        <f t="shared" si="61"/>
        <v>1</v>
      </c>
    </row>
    <row r="257" spans="1:26" hidden="1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73213.031670240001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73213.031670240001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hidden="1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95306.051606825611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-149563.46514318642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954725.55443126068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85441.004824644522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103768.80055910767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22760.036021339201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742755.71302616922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765515.74904750846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7.8082031052066174</v>
      </c>
      <c r="S259" s="187">
        <f>IFERROR(VLOOKUP(A259,[1]Biogasudbytte!$A$2:$B$18,2,FALSE)*[1]Energiindhold!$C$10,0)*J259*IFERROR(VLOOKUP(A259,Biogasanlæg!$F$3:$G$8,2,FALSE),1)</f>
        <v>0.13122389808247203</v>
      </c>
      <c r="T259" s="188">
        <f t="shared" si="64"/>
        <v>7.6769792071241456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650688.38669038215</v>
      </c>
      <c r="W259" s="187">
        <f>J259*IFERROR(VLOOKUP(A259,[1]Tørstofindhold!A$2:B$24,2,FALSE),0)</f>
        <v>19346.03061813832</v>
      </c>
      <c r="X259" s="188">
        <f t="shared" si="65"/>
        <v>631342.35607224377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hidden="1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hidden="1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203712.64403711172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278778.73742725787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-75066.093390146154</v>
      </c>
      <c r="O262" s="190">
        <f t="shared" si="75"/>
        <v>0</v>
      </c>
      <c r="P262" s="200">
        <f t="shared" si="63"/>
        <v>278778.73742725787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1.0267868339319479</v>
      </c>
      <c r="S262" s="187">
        <f>IFERROR(VLOOKUP(A262,[1]Biogasudbytte!$A$2:$B$18,2,FALSE)*[1]Energiindhold!$C$10,0)*J262*IFERROR(VLOOKUP(A262,Biogasanlæg!$F$3:$G$8,2,FALSE),1)</f>
        <v>1.0267868339319479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117087.06971944831</v>
      </c>
      <c r="W262" s="187">
        <f>J262*IFERROR(VLOOKUP(A262,[1]Tørstofindhold!A$2:B$24,2,FALSE),0)</f>
        <v>117087.06971944831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hidden="1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145676.42027029704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145676.42027029704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hidden="1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116599.33594982738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4623.8282902741339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hidden="1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2269251.3708149861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716306.46013408515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942.95519192028598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1283752.9371397211</v>
      </c>
      <c r="O265" s="190">
        <f t="shared" si="75"/>
        <v>1283752.9371397211</v>
      </c>
      <c r="P265" s="200">
        <f t="shared" si="63"/>
        <v>942.95519192028598</v>
      </c>
      <c r="Q265" s="187">
        <f>IFERROR(VLOOKUP(A265,[1]Energiindhold!$A$2:$C$11,3,FALSE),IFERROR(VLOOKUP(A265,[1]Biogasudbytte!$A$2:$B$18,2,FALSE)*[1]Energiindhold!$C$10,0))*O265</f>
        <v>4.3966740842923464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4.3999035738109464</v>
      </c>
      <c r="S265" s="187">
        <f>IFERROR(VLOOKUP(A265,[1]Biogasudbytte!$A$2:$B$18,2,FALSE)*[1]Energiindhold!$C$10,0)*J265*IFERROR(VLOOKUP(A265,Biogasanlæg!$F$3:$G$8,2,FALSE),1)</f>
        <v>3.2294895186001111E-3</v>
      </c>
      <c r="T265" s="188">
        <f t="shared" si="64"/>
        <v>4.3966740842923464</v>
      </c>
      <c r="U265" s="186">
        <f>O265*IFERROR(VLOOKUP(A265,[1]Tørstofindhold!A$2:B$24,2,FALSE),0)</f>
        <v>397963.41051331355</v>
      </c>
      <c r="V265" s="187">
        <f>IF(D265=År1,P265,SUM(O265,P265))*IFERROR(VLOOKUP(A265,[1]Tørstofindhold!A$2:B$24,2,FALSE),0)</f>
        <v>398255.72662280884</v>
      </c>
      <c r="W265" s="187">
        <f>J265*IFERROR(VLOOKUP(A265,[1]Tørstofindhold!A$2:B$24,2,FALSE),0)</f>
        <v>292.31610949528863</v>
      </c>
      <c r="X265" s="188">
        <f t="shared" si="65"/>
        <v>397963.41051331355</v>
      </c>
      <c r="Y265" s="168">
        <f t="shared" si="76"/>
        <v>0</v>
      </c>
      <c r="Z265" s="103">
        <f t="shared" si="77"/>
        <v>1</v>
      </c>
    </row>
    <row r="266" spans="1:26" hidden="1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374512.55673175264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-374512.55673175264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hidden="1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932325.71112863347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288888.89650394162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643436.81462469185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288888.89650394162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0.14623267052133024</v>
      </c>
      <c r="S267" s="187">
        <f>IFERROR(VLOOKUP(A267,[1]Biogasudbytte!$A$2:$B$18,2,FALSE)*[1]Energiindhold!$C$10,0)*J267*IFERROR(VLOOKUP(A267,Biogasanlæg!$F$3:$G$8,2,FALSE),1)</f>
        <v>0.14623267052133024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21955.556134299564</v>
      </c>
      <c r="W267" s="187">
        <f>J267*IFERROR(VLOOKUP(A267,[1]Tørstofindhold!A$2:B$24,2,FALSE),0)</f>
        <v>21955.556134299564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hidden="1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116367.97152159807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-52175.584960505003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hidden="1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365331.29920084751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759973.58711494645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15157.172777828771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-409799.4606919277</v>
      </c>
      <c r="O269" s="190">
        <f t="shared" si="75"/>
        <v>0</v>
      </c>
      <c r="P269" s="200">
        <f t="shared" si="63"/>
        <v>15157.172777828771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5.4414250272405297E-2</v>
      </c>
      <c r="S269" s="187">
        <f>IFERROR(VLOOKUP(A269,[1]Biogasudbytte!$A$2:$B$18,2,FALSE)*[1]Energiindhold!$C$10,0)*J269*IFERROR(VLOOKUP(A269,Biogasanlæg!$F$3:$G$8,2,FALSE),1)</f>
        <v>5.4414250272405297E-2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4547.151833348631</v>
      </c>
      <c r="W269" s="187">
        <f>J269*IFERROR(VLOOKUP(A269,[1]Tørstofindhold!A$2:B$24,2,FALSE),0)</f>
        <v>4547.151833348631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hidden="1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224529.79129963685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-203684.23799184148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hidden="1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-28787.385745896576</v>
      </c>
      <c r="O271" s="190">
        <f t="shared" si="75"/>
        <v>0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0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0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0</v>
      </c>
      <c r="U271" s="186">
        <f>O271*IFERROR(VLOOKUP(A271,[1]Tørstofindhold!A$2:B$24,2,FALSE),0)</f>
        <v>0</v>
      </c>
      <c r="V271" s="187">
        <f>IF(D271=År1,P271,SUM(O271,P271))*IFERROR(VLOOKUP(A271,[1]Tørstofindhold!A$2:B$24,2,FALSE),0)</f>
        <v>0</v>
      </c>
      <c r="W271" s="187">
        <f>J271*IFERROR(VLOOKUP(A271,[1]Tørstofindhold!A$2:B$24,2,FALSE),0)</f>
        <v>0</v>
      </c>
      <c r="X271" s="188">
        <f t="shared" si="65"/>
        <v>0</v>
      </c>
      <c r="Y271" s="168">
        <f t="shared" si="76"/>
        <v>1</v>
      </c>
      <c r="Z271" s="103">
        <f t="shared" si="77"/>
        <v>0</v>
      </c>
    </row>
    <row r="272" spans="1:26" hidden="1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7675.7227272754371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-46736.990994762411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hidden="1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395582.15440421121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395582.15440421121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hidden="1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38930.749033080756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38930.749033080756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38930.749033080756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0.71632578220868581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0.71632578220868581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16156.260848728514</v>
      </c>
      <c r="W274" s="187">
        <f>J274*IFERROR(VLOOKUP(A274,[1]Tørstofindhold!A$2:B$24,2,FALSE),0)</f>
        <v>0</v>
      </c>
      <c r="X274" s="188">
        <f t="shared" si="65"/>
        <v>16156.260848728514</v>
      </c>
      <c r="Y274" s="168">
        <f t="shared" si="76"/>
        <v>0</v>
      </c>
      <c r="Z274" s="103">
        <f t="shared" si="77"/>
        <v>0</v>
      </c>
    </row>
    <row r="275" spans="1:26" hidden="1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hidden="1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349638.73109870247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349638.73109870247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192597.21080122079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192597.21080122079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hidden="1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96298.605400610395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64094.573098866822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hidden="1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61631.107456390651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61631.107456390651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61631.107456390651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2.1570887609736724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2.1570887609736724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hidden="1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2233462.9797265115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916911.47014555847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24503.456115543915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1292048.0534654092</v>
      </c>
      <c r="O281" s="190">
        <f t="shared" si="89"/>
        <v>0</v>
      </c>
      <c r="P281" s="200">
        <f t="shared" si="63"/>
        <v>24503.456115543915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6.6503360035830808E-2</v>
      </c>
      <c r="S281" s="187">
        <f>IFERROR(VLOOKUP(A281,[1]Biogasudbytte!$A$2:$B$18,2,FALSE)*[1]Energiindhold!$C$10,0)*J281*IFERROR(VLOOKUP(A281,Biogasanlæg!$F$3:$G$8,2,FALSE),1)</f>
        <v>6.6503360035830808E-2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4900.6912231087836</v>
      </c>
      <c r="W281" s="187">
        <f>J281*IFERROR(VLOOKUP(A281,[1]Tørstofindhold!A$2:B$24,2,FALSE),0)</f>
        <v>4900.6912231087836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hidden="1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22882.418470138211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22882.418470138211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hidden="1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18563.363450936293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5904.2767476000008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12659.086703336292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hidden="1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3500529.1835254394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1327571.6466098325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2172957.5369156068</v>
      </c>
      <c r="O284" s="190">
        <f t="shared" si="89"/>
        <v>2172957.5369156068</v>
      </c>
      <c r="P284" s="200">
        <f t="shared" si="94"/>
        <v>1327571.6466098325</v>
      </c>
      <c r="Q284" s="187">
        <f>IFERROR(VLOOKUP(A284,[1]Energiindhold!$A$2:$C$11,3,FALSE),IFERROR(VLOOKUP(A284,[1]Biogasudbytte!$A$2:$B$18,2,FALSE)*[1]Energiindhold!$C$10,0))*O284</f>
        <v>1.0843275404962571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1.7467990678710299</v>
      </c>
      <c r="S284" s="187">
        <f>IFERROR(VLOOKUP(A284,[1]Biogasudbytte!$A$2:$B$18,2,FALSE)*[1]Energiindhold!$C$10,0)*J284*IFERROR(VLOOKUP(A284,Biogasanlæg!$F$3:$G$8,2,FALSE),1)</f>
        <v>0.66247152737477266</v>
      </c>
      <c r="T284" s="188">
        <f t="shared" si="95"/>
        <v>1.0843275404962571</v>
      </c>
      <c r="U284" s="186">
        <f>O284*IFERROR(VLOOKUP(A284,[1]Tørstofindhold!A$2:B$24,2,FALSE),0)</f>
        <v>130377.45221493641</v>
      </c>
      <c r="V284" s="187">
        <f>IF(D284=År1,P284,SUM(O284,P284))*IFERROR(VLOOKUP(A284,[1]Tørstofindhold!A$2:B$24,2,FALSE),0)</f>
        <v>210031.75101152636</v>
      </c>
      <c r="W284" s="187">
        <f>J284*IFERROR(VLOOKUP(A284,[1]Tørstofindhold!A$2:B$24,2,FALSE),0)</f>
        <v>79654.298796589952</v>
      </c>
      <c r="X284" s="188">
        <f t="shared" si="96"/>
        <v>130377.45221493641</v>
      </c>
      <c r="Y284" s="168">
        <f t="shared" si="90"/>
        <v>0</v>
      </c>
      <c r="Z284" s="103">
        <f t="shared" si="91"/>
        <v>1</v>
      </c>
    </row>
    <row r="285" spans="1:26" hidden="1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2234653.5141253849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368903.15449678036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1865750.3596286045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368903.15449678036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0.15892347895721301</v>
      </c>
      <c r="S285" s="187">
        <f>IFERROR(VLOOKUP(A285,[1]Biogasudbytte!$A$2:$B$18,2,FALSE)*[1]Energiindhold!$C$10,0)*J285*IFERROR(VLOOKUP(A285,Biogasanlæg!$F$3:$G$8,2,FALSE),1)</f>
        <v>0.15892347895721301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18445.15772483902</v>
      </c>
      <c r="W285" s="187">
        <f>J285*IFERROR(VLOOKUP(A285,[1]Tørstofindhold!A$2:B$24,2,FALSE),0)</f>
        <v>18445.15772483902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hidden="1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202637.2336137525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92162.936056887775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hidden="1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-11938.794894044118</v>
      </c>
      <c r="O287" s="190">
        <f t="shared" si="89"/>
        <v>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0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0</v>
      </c>
      <c r="U287" s="186">
        <f>O287*IFERROR(VLOOKUP(A287,[1]Tørstofindhold!A$2:B$24,2,FALSE),0)</f>
        <v>0</v>
      </c>
      <c r="V287" s="187">
        <f>IF(D287=År1,P287,SUM(O287,P287))*IFERROR(VLOOKUP(A287,[1]Tørstofindhold!A$2:B$24,2,FALSE),0)</f>
        <v>0</v>
      </c>
      <c r="W287" s="187">
        <f>J287*IFERROR(VLOOKUP(A287,[1]Tørstofindhold!A$2:B$24,2,FALSE),0)</f>
        <v>0</v>
      </c>
      <c r="X287" s="188">
        <f t="shared" si="96"/>
        <v>0</v>
      </c>
      <c r="Y287" s="168">
        <f t="shared" si="90"/>
        <v>1</v>
      </c>
      <c r="Z287" s="103">
        <f t="shared" si="91"/>
        <v>0</v>
      </c>
    </row>
    <row r="288" spans="1:26" hidden="1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hidden="1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595258.77808902785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595258.77808902785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595258.77808902785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8.6274241140246506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8.6274241140246506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294405.07066319836</v>
      </c>
      <c r="W289" s="187">
        <f>J289*IFERROR(VLOOKUP(A289,[1]Tørstofindhold!A$2:B$24,2,FALSE),0)</f>
        <v>0</v>
      </c>
      <c r="X289" s="188">
        <f t="shared" ca="1" si="96"/>
        <v>294405.07066319836</v>
      </c>
      <c r="Y289" s="168">
        <f t="shared" ca="1" si="90"/>
        <v>0</v>
      </c>
      <c r="Z289" s="103">
        <f t="shared" ca="1" si="91"/>
        <v>0</v>
      </c>
    </row>
    <row r="290" spans="1:26" ht="15.75" hidden="1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165046.91815088291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165046.91815088291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2" t="s">
        <v>23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8" t="s">
        <v>7</v>
      </c>
      <c r="D3" s="449"/>
      <c r="E3" s="449"/>
      <c r="F3" s="449"/>
      <c r="G3" s="449"/>
      <c r="H3" s="449"/>
      <c r="I3" s="449"/>
      <c r="J3" s="449"/>
      <c r="K3" s="450"/>
      <c r="L3" s="448" t="s">
        <v>8</v>
      </c>
      <c r="M3" s="449"/>
      <c r="N3" s="449"/>
      <c r="O3" s="449"/>
      <c r="P3" s="449"/>
      <c r="Q3" s="449"/>
      <c r="R3" s="449"/>
      <c r="S3" s="449"/>
      <c r="T3" s="450"/>
      <c r="U3" s="71"/>
      <c r="W3" s="31" t="s">
        <v>267</v>
      </c>
      <c r="X3" s="35">
        <f>C24+C51</f>
        <v>11808068</v>
      </c>
      <c r="Y3" s="11">
        <f>D24+D51</f>
        <v>11854751.885301495</v>
      </c>
      <c r="Z3" s="23">
        <f>E24+E51</f>
        <v>11854751.885301495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268</v>
      </c>
      <c r="X4" s="35">
        <f t="shared" ref="X4:Z5" si="0">C25+C52</f>
        <v>1267084</v>
      </c>
      <c r="Y4" s="11">
        <f t="shared" si="0"/>
        <v>1265458.2176968176</v>
      </c>
      <c r="Z4" s="23">
        <f t="shared" si="0"/>
        <v>1265458.2176968176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269</v>
      </c>
      <c r="X5" s="48">
        <f t="shared" si="0"/>
        <v>19782594</v>
      </c>
      <c r="Y5" s="16">
        <f t="shared" si="0"/>
        <v>19821370.233686633</v>
      </c>
      <c r="Z5" s="24">
        <f t="shared" si="0"/>
        <v>19821370.233686633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856024.05830682674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22635.91835790575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11296.101092191502</v>
      </c>
      <c r="I6" s="11">
        <f>IF(Landbrug!$E$47&gt;0,SUMIF(Landbrug!$B$32:$B$45,$B6,IF($I$4=År2,Landbrug!$D$32:$D$45,Landbrug!$E$32:$E$45)),'[1]Afgrødefordeling - jordtype'!$G4)*(1-Landbrug!$E$5)*Arealanvendelse!P$26</f>
        <v>856024.05830682674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22635.91835790575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11296.101092191502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109452.53235846422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2894.2627984460178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1444.3365911503531</v>
      </c>
      <c r="R6" s="11">
        <f>IF(Landbrug!$E$47&gt;0,SUMIF(Landbrug!$B$32:$B$45,$B6,IF($R$4=År2,Landbrug!$D$32:$D$45,Landbrug!$E$32:$E$45)),'[1]Afgrødefordeling - jordtype'!$G4)*(Landbrug!$E$5)*Arealanvendelse!P$26</f>
        <v>109452.53235846422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2894.2627984460178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1444.3365911503531</v>
      </c>
      <c r="U6" s="94"/>
      <c r="W6" s="31" t="s">
        <v>270</v>
      </c>
      <c r="X6" s="34">
        <f t="shared" ref="X6:Z8" si="1">F24+F51</f>
        <v>490924</v>
      </c>
      <c r="Y6" s="11">
        <f t="shared" si="1"/>
        <v>444240.11469850532</v>
      </c>
      <c r="Z6" s="23">
        <f t="shared" si="1"/>
        <v>444240.11469850532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59143.999319161092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1940.4460603454415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650.4207159045452</v>
      </c>
      <c r="I7" s="11">
        <f>IF(Landbrug!$E$47&gt;0,SUMIF(Landbrug!$B$32:$B$45,$B7,IF($I$4=År2,Landbrug!$D$32:$D$45,Landbrug!$E$32:$E$45)),'[1]Afgrødefordeling - jordtype'!$G5)*(1-Landbrug!$E$5)*Arealanvendelse!P$26</f>
        <v>59143.999319161092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1940.4460603454415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650.4207159045452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7562.2413137472431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248.10837166177816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83.163777657100411</v>
      </c>
      <c r="R7" s="11">
        <f>IF(Landbrug!$E$47&gt;0,SUMIF(Landbrug!$B$32:$B$45,$B7,IF($R$4=År2,Landbrug!$D$32:$D$45,Landbrug!$E$32:$E$45)),'[1]Afgrødefordeling - jordtype'!$G5)*(Landbrug!$E$5)*Arealanvendelse!P$26</f>
        <v>7562.2413137472431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248.10837166177816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83.163777657100411</v>
      </c>
      <c r="U7" s="94"/>
      <c r="W7" s="31" t="s">
        <v>271</v>
      </c>
      <c r="X7" s="34">
        <f t="shared" si="1"/>
        <v>224348</v>
      </c>
      <c r="Y7" s="11">
        <f t="shared" si="1"/>
        <v>225973.78230318244</v>
      </c>
      <c r="Z7" s="23">
        <f t="shared" si="1"/>
        <v>225973.78230318244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99458.982869280968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2077.7966510372653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842.26537456010396</v>
      </c>
      <c r="I8" s="11">
        <f>IF(Landbrug!$E$47&gt;0,SUMIF(Landbrug!$B$32:$B$45,$B8,IF($I$4=År2,Landbrug!$D$32:$D$45,Landbrug!$E$32:$E$45)),'[1]Afgrødefordeling - jordtype'!$G6)*(1-Landbrug!$E$5)*Arealanvendelse!P$26</f>
        <v>99458.982869280968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2077.7966510372653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842.26537456010396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12716.97615879156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265.67022617540744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107.69332622005651</v>
      </c>
      <c r="R8" s="11">
        <f>IF(Landbrug!$E$47&gt;0,SUMIF(Landbrug!$B$32:$B$45,$B8,IF($R$4=År2,Landbrug!$D$32:$D$45,Landbrug!$E$32:$E$45)),'[1]Afgrødefordeling - jordtype'!$G6)*(Landbrug!$E$5)*Arealanvendelse!P$26</f>
        <v>12716.97615879156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265.67022617540744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107.69332622005651</v>
      </c>
      <c r="U8" s="94"/>
      <c r="W8" s="46" t="s">
        <v>272</v>
      </c>
      <c r="X8" s="47">
        <f t="shared" si="1"/>
        <v>3277287</v>
      </c>
      <c r="Y8" s="16">
        <f t="shared" si="1"/>
        <v>3238510.7663133652</v>
      </c>
      <c r="Z8" s="24">
        <f t="shared" si="1"/>
        <v>3238510.7663133652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189636.9989648702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19174.640913496198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19425.298339632762</v>
      </c>
      <c r="I9" s="11">
        <f>IF(Landbrug!$E$47&gt;0,SUMIF(Landbrug!$B$32:$B$45,$B9,IF($I$4=År2,Landbrug!$D$32:$D$45,Landbrug!$E$32:$E$45)),'[1]Afgrødefordeling - jordtype'!$G7)*(1-Landbrug!$E$5)*Arealanvendelse!P$26</f>
        <v>189636.9989648702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19174.640913496198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19425.298339632762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24247.273851881382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2451.6986230474936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2483.7480611197916</v>
      </c>
      <c r="R9" s="11">
        <f>IF(Landbrug!$E$47&gt;0,SUMIF(Landbrug!$B$32:$B$45,$B9,IF($R$4=År2,Landbrug!$D$32:$D$45,Landbrug!$E$32:$E$45)),'[1]Afgrødefordeling - jordtype'!$G7)*(Landbrug!$E$5)*Arealanvendelse!P$26</f>
        <v>24247.273851881382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2451.6986230474936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2483.7480611197916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7338.5205805106789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89.680516787297492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22.57826722289504</v>
      </c>
      <c r="I10" s="11">
        <f>IF(Landbrug!$E$47&gt;0,SUMIF(Landbrug!$B$32:$B$45,$B10,IF($I$4=År2,Landbrug!$D$32:$D$45,Landbrug!$E$32:$E$45)),'[1]Afgrødefordeling - jordtype'!$G8)*(1-Landbrug!$E$5)*Arealanvendelse!P$26</f>
        <v>7338.5205805106789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89.680516787297492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22.57826722289504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938.31435402683587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11.466686678176497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2.8868914370233689</v>
      </c>
      <c r="R10" s="11">
        <f>IF(Landbrug!$E$47&gt;0,SUMIF(Landbrug!$B$32:$B$45,$B10,IF($R$4=År2,Landbrug!$D$32:$D$45,Landbrug!$E$32:$E$45)),'[1]Afgrødefordeling - jordtype'!$G8)*(Landbrug!$E$5)*Arealanvendelse!P$26</f>
        <v>938.31435402683587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11.466686678176497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2.8868914370233689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43716.498839298802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1415.8229166406438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1195.0743050553408</v>
      </c>
      <c r="I11" s="11">
        <f>IF(Landbrug!$E$47&gt;0,SUMIF(Landbrug!$B$32:$B$45,$B11,IF($I$4=År2,Landbrug!$D$32:$D$45,Landbrug!$E$32:$E$45)),'[1]Afgrødefordeling - jordtype'!$G9)*(1-Landbrug!$E$5)*Arealanvendelse!P$26</f>
        <v>43716.498839298802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1415.8229166406438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1195.0743050553408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5589.6577407781906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181.02926207936162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152.80401032602109</v>
      </c>
      <c r="R11" s="11">
        <f>IF(Landbrug!$E$47&gt;0,SUMIF(Landbrug!$B$32:$B$45,$B11,IF($R$4=År2,Landbrug!$D$32:$D$45,Landbrug!$E$32:$E$45)),'[1]Afgrødefordeling - jordtype'!$G9)*(Landbrug!$E$5)*Arealanvendelse!P$26</f>
        <v>5589.6577407781906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181.02926207936162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152.80401032602109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4267.6414750315462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37.144566460621064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12.923608459073616</v>
      </c>
      <c r="I12" s="11">
        <f>IF(Landbrug!$E$47&gt;0,SUMIF(Landbrug!$B$32:$B$45,$B12,IF($I$4=År2,Landbrug!$D$32:$D$45,Landbrug!$E$32:$E$45)),'[1]Afgrødefordeling - jordtype'!$G10)*(1-Landbrug!$E$5)*Arealanvendelse!P$26</f>
        <v>4267.6414750315462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37.144566460621064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12.923608459073616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545.66710141783074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4.7493605150698004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1.6524321475879205</v>
      </c>
      <c r="R12" s="11">
        <f>IF(Landbrug!$E$47&gt;0,SUMIF(Landbrug!$B$32:$B$45,$B12,IF($R$4=År2,Landbrug!$D$32:$D$45,Landbrug!$E$32:$E$45)),'[1]Afgrødefordeling - jordtype'!$G10)*(Landbrug!$E$5)*Arealanvendelse!P$26</f>
        <v>545.66710141783074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4.7493605150698004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1.6524321475879205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146143.69836902106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4794.8053396620016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1607.1772286680882</v>
      </c>
      <c r="I13" s="11">
        <f>IF(Landbrug!$E$47&gt;0,SUMIF(Landbrug!$B$32:$B$45,$B13,IF($I$4=År2,Landbrug!$D$32:$D$45,Landbrug!$E$32:$E$45)),'[1]Afgrødefordeling - jordtype'!$G11)*(1-Landbrug!$E$5)*Arealanvendelse!P$26</f>
        <v>146143.69836902106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4794.8053396620016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1607.1772286680882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18686.154576496141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613.07107142517441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205.49611417992301</v>
      </c>
      <c r="R13" s="11">
        <f>IF(Landbrug!$E$47&gt;0,SUMIF(Landbrug!$B$32:$B$45,$B13,IF($R$4=År2,Landbrug!$D$32:$D$45,Landbrug!$E$32:$E$45)),'[1]Afgrødefordeling - jordtype'!$G11)*(Landbrug!$E$5)*Arealanvendelse!P$26</f>
        <v>18686.154576496141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613.07107142517441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205.49611417992301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2685.4308255346846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81.683630839432524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46.056815483742021</v>
      </c>
      <c r="I14" s="11">
        <f>IF(Landbrug!$E$47&gt;0,SUMIF(Landbrug!$B$32:$B$45,$B14,IF($I$4=År2,Landbrug!$D$32:$D$45,Landbrug!$E$32:$E$45)),'[1]Afgrødefordeling - jordtype'!$G12)*(1-Landbrug!$E$5)*Arealanvendelse!P$26</f>
        <v>2685.4308255346846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81.683630839432524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46.056815483742021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343.36325185722677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10.444192731327741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5.8888941708402527</v>
      </c>
      <c r="R14" s="11">
        <f>IF(Landbrug!$E$47&gt;0,SUMIF(Landbrug!$B$32:$B$45,$B14,IF($R$4=År2,Landbrug!$D$32:$D$45,Landbrug!$E$32:$E$45)),'[1]Afgrødefordeling - jordtype'!$G12)*(Landbrug!$E$5)*Arealanvendelse!P$26</f>
        <v>343.36325185722677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10.444192731327741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5.8888941708402527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47494.264779726094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1444.648640496996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814.55629714844781</v>
      </c>
      <c r="I15" s="11">
        <f>IF(Landbrug!$E$47&gt;0,SUMIF(Landbrug!$B$32:$B$45,$B15,IF($I$4=År2,Landbrug!$D$32:$D$45,Landbrug!$E$32:$E$45)),'[1]Afgrødefordeling - jordtype'!$G13)*(1-Landbrug!$E$5)*Arealanvendelse!P$26</f>
        <v>47494.264779726094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1444.648640496996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814.55629714844781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6072.6886145309409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184.71496278196111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104.15040162279546</v>
      </c>
      <c r="R15" s="11">
        <f>IF(Landbrug!$E$47&gt;0,SUMIF(Landbrug!$B$32:$B$45,$B15,IF($R$4=År2,Landbrug!$D$32:$D$45,Landbrug!$E$32:$E$45)),'[1]Afgrødefordeling - jordtype'!$G13)*(Landbrug!$E$5)*Arealanvendelse!P$26</f>
        <v>6072.6886145309409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184.71496278196111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104.15040162279546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49959.789539022684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3565.818870427081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2591.6458017794043</v>
      </c>
      <c r="I16" s="11">
        <f>IF(Landbrug!$E$47&gt;0,SUMIF(Landbrug!$B$32:$B$45,$B16,IF($I$4=År2,Landbrug!$D$32:$D$45,Landbrug!$E$32:$E$45)),'[1]Afgrødefordeling - jordtype'!$G14)*(1-Landbrug!$E$5)*Arealanvendelse!P$26</f>
        <v>49959.789539022684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3565.818870427081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2591.6458017794043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6387.934343758774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455.93100043451182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331.37175670273564</v>
      </c>
      <c r="R16" s="11">
        <f>IF(Landbrug!$E$47&gt;0,SUMIF(Landbrug!$B$32:$B$45,$B16,IF($R$4=År2,Landbrug!$D$32:$D$45,Landbrug!$E$32:$E$45)),'[1]Afgrødefordeling - jordtype'!$G14)*(Landbrug!$E$5)*Arealanvendelse!P$26</f>
        <v>6387.934343758774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455.93100043451182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331.37175670273564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13468.89657573873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409.68784794078073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230.99998646768015</v>
      </c>
      <c r="I17" s="11">
        <f>IF(Landbrug!$E$47&gt;0,SUMIF(Landbrug!$B$32:$B$45,$B17,IF($I$4=År2,Landbrug!$D$32:$D$45,Landbrug!$E$32:$E$45)),'[1]Afgrødefordeling - jordtype'!$G15)*(1-Landbrug!$E$5)*Arealanvendelse!P$26</f>
        <v>13468.89657573873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409.68784794078073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230.99998646768015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1722.1535119056764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52.383308621374375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29.536008069292045</v>
      </c>
      <c r="R17" s="11">
        <f>IF(Landbrug!$E$47&gt;0,SUMIF(Landbrug!$B$32:$B$45,$B17,IF($R$4=År2,Landbrug!$D$32:$D$45,Landbrug!$E$32:$E$45)),'[1]Afgrødefordeling - jordtype'!$G15)*(Landbrug!$E$5)*Arealanvendelse!P$26</f>
        <v>1722.1535119056764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52.383308621374375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29.536008069292045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4954.292308391774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672.85851532837171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545.28097634153664</v>
      </c>
      <c r="I18" s="11">
        <f>IF(Landbrug!$E$47&gt;0,SUMIF(Landbrug!$B$32:$B$45,$B18,IF($I$4=År2,Landbrug!$D$32:$D$45,Landbrug!$E$32:$E$45)),'[1]Afgrødefordeling - jordtype'!$G16)*(1-Landbrug!$E$5)*Arealanvendelse!P$26</f>
        <v>4954.292308391774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672.85851532837171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545.28097634153664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633.46331675549425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86.032708668626768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69.720451345171071</v>
      </c>
      <c r="R18" s="11">
        <f>IF(Landbrug!$E$47&gt;0,SUMIF(Landbrug!$B$32:$B$45,$B18,IF($R$4=År2,Landbrug!$D$32:$D$45,Landbrug!$E$32:$E$45)),'[1]Afgrødefordeling - jordtype'!$G16)*(Landbrug!$E$5)*Arealanvendelse!P$26</f>
        <v>633.46331675549425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86.032708668626768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69.720451345171071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119415.94261463804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19018.389680733297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20167.360943385029</v>
      </c>
      <c r="I19" s="11">
        <f>IF(Landbrug!$E$47&gt;0,SUMIF(Landbrug!$B$32:$B$45,$B19,IF($I$4=År2,Landbrug!$D$32:$D$45,Landbrug!$E$32:$E$45)),'[1]Afgrødefordeling - jordtype'!$G17)*(1-Landbrug!$E$5)*Arealanvendelse!P$26</f>
        <v>119415.94261463804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19018.389680733297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20167.360943385029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15268.703252333511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2431.7201038177204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2578.6293093289264</v>
      </c>
      <c r="R19" s="11">
        <f>IF(Landbrug!$E$47&gt;0,SUMIF(Landbrug!$B$32:$B$45,$B19,IF($R$4=År2,Landbrug!$D$32:$D$45,Landbrug!$E$32:$E$45)),'[1]Afgrødefordeling - jordtype'!$G17)*(Landbrug!$E$5)*Arealanvendelse!P$26</f>
        <v>15268.703252333511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2431.7201038177204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2578.6293093289264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1643709.0153670528</v>
      </c>
      <c r="G20" s="38">
        <f t="shared" si="2"/>
        <v>77359.342508101181</v>
      </c>
      <c r="H20" s="38">
        <f t="shared" si="2"/>
        <v>59447.739752300156</v>
      </c>
      <c r="I20" s="38">
        <f t="shared" si="2"/>
        <v>1643709.0153670528</v>
      </c>
      <c r="J20" s="38">
        <f t="shared" si="2"/>
        <v>77359.342508101181</v>
      </c>
      <c r="K20" s="39">
        <f t="shared" si="2"/>
        <v>59447.739752300156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210167.12374674503</v>
      </c>
      <c r="P20" s="38">
        <f t="shared" si="2"/>
        <v>9891.2826770840002</v>
      </c>
      <c r="Q20" s="38">
        <f t="shared" si="2"/>
        <v>7601.0780254776164</v>
      </c>
      <c r="R20" s="38">
        <f t="shared" si="2"/>
        <v>210167.12374674503</v>
      </c>
      <c r="S20" s="38">
        <f t="shared" si="2"/>
        <v>9891.2826770840002</v>
      </c>
      <c r="T20" s="39">
        <f t="shared" si="2"/>
        <v>7601.0780254776164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8" t="s">
        <v>7</v>
      </c>
      <c r="D22" s="449"/>
      <c r="E22" s="450"/>
      <c r="F22" s="451" t="s">
        <v>8</v>
      </c>
      <c r="G22" s="449"/>
      <c r="H22" s="45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10313649.885301495</v>
      </c>
      <c r="E24" s="23">
        <f>($F24+$C24)*Landbrug!E11*(1-Landbrug!E6)</f>
        <v>10313649.885301495</v>
      </c>
      <c r="F24" s="34">
        <f>SUM([1]Dyrehold!E58:G61)</f>
        <v>475477</v>
      </c>
      <c r="G24" s="11">
        <f>($F24+$C24)*Landbrug!D11*Landbrug!D6</f>
        <v>428793.11469850532</v>
      </c>
      <c r="H24" s="23">
        <f>($F24+$C24)*Landbrug!E11*Landbrug!E6</f>
        <v>428793.11469850532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1183003.2176968176</v>
      </c>
      <c r="E25" s="23">
        <f>($F25+$C25)*Landbrug!E12*(1-Landbrug!E7)</f>
        <v>1183003.2176968176</v>
      </c>
      <c r="F25" s="34">
        <f>SUM([1]Dyrehold!E36:G51)</f>
        <v>207835</v>
      </c>
      <c r="G25" s="11">
        <f>($F25+$C25)*Landbrug!D12*Landbrug!D7</f>
        <v>209460.78230318244</v>
      </c>
      <c r="H25" s="23">
        <f>($F25+$C25)*Landbrug!E12*Landbrug!E7</f>
        <v>209460.78230318244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18250810.233686633</v>
      </c>
      <c r="E26" s="24">
        <f>($F26+$C26)*Landbrug!E13*(1-Landbrug!E8)</f>
        <v>18250810.233686633</v>
      </c>
      <c r="F26" s="47">
        <f>SUM([1]Dyrehold!E65:G78)</f>
        <v>3062300</v>
      </c>
      <c r="G26" s="16">
        <f>($F26+$C26)*Landbrug!D13*Landbrug!D8</f>
        <v>3023523.7663133652</v>
      </c>
      <c r="H26" s="24">
        <f>($F26+$C26)*Landbrug!E13*Landbrug!E8</f>
        <v>3023523.7663133652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5" t="s">
        <v>24</v>
      </c>
      <c r="B29" s="456"/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7"/>
    </row>
    <row r="30" spans="1:21" x14ac:dyDescent="0.25">
      <c r="A30" s="56"/>
      <c r="B30" s="53"/>
      <c r="C30" s="458" t="s">
        <v>7</v>
      </c>
      <c r="D30" s="459"/>
      <c r="E30" s="459"/>
      <c r="F30" s="459"/>
      <c r="G30" s="459"/>
      <c r="H30" s="459"/>
      <c r="I30" s="459"/>
      <c r="J30" s="459"/>
      <c r="K30" s="460"/>
      <c r="L30" s="458" t="s">
        <v>8</v>
      </c>
      <c r="M30" s="459"/>
      <c r="N30" s="459"/>
      <c r="O30" s="459"/>
      <c r="P30" s="459"/>
      <c r="Q30" s="459"/>
      <c r="R30" s="459"/>
      <c r="S30" s="459"/>
      <c r="T30" s="460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289324.40705334052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4510.1573367949441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2454.353989887808</v>
      </c>
      <c r="I33" s="11">
        <f>IF(Landbrug!$E$47&gt;0,SUMIF(Landbrug!$B$32:$B$45,$B33,IF($I$31=År2,Landbrug!$D$32:$D$45,Landbrug!$E$32:$E$45)),'[1]Afgrødefordeling - jordtype'!$P4)*(1-Landbrug!$E$5)*Arealanvendelse!P$36</f>
        <v>289324.40705334052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4510.1573367949441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2454.353989887808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36993.456805099093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576.67554674073642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313.81741773551124</v>
      </c>
      <c r="R33" s="11">
        <f>IF(Landbrug!$E$47&gt;0,SUMIF(Landbrug!$B$32:$B$45,$B33,IF($R$31=År2,Landbrug!$D$32:$D$45,Landbrug!$E$32:$E$45)),'[1]Afgrødefordeling - jordtype'!$P4)*(Landbrug!$E$5)*Arealanvendelse!P$36</f>
        <v>36993.456805099093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576.67554674073642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313.81741773551124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6305.778237432175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121.9618637911824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44.579161926919546</v>
      </c>
      <c r="I34" s="11">
        <f>IF(Landbrug!$E$47&gt;0,SUMIF(Landbrug!$B$32:$B$45,$B34,IF($I$31=År2,Landbrug!$D$32:$D$45,Landbrug!$E$32:$E$45)),'[1]Afgrødefordeling - jordtype'!$P5)*(1-Landbrug!$E$5)*Arealanvendelse!P$36</f>
        <v>6305.778237432175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121.9618637911824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44.579161926919546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806.26635417583145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15.594228589213635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5.699959149478107</v>
      </c>
      <c r="R34" s="11">
        <f>IF(Landbrug!$E$47&gt;0,SUMIF(Landbrug!$B$32:$B$45,$B34,IF($R$31=År2,Landbrug!$D$32:$D$45,Landbrug!$E$32:$E$45)),'[1]Afgrødefordeling - jordtype'!$P5)*(Landbrug!$E$5)*Arealanvendelse!P$36</f>
        <v>806.26635417583145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15.594228589213635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5.699959149478107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40000.111452135221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492.62301992250912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217.75877487690997</v>
      </c>
      <c r="I35" s="11">
        <f>IF(Landbrug!$E$47&gt;0,SUMIF(Landbrug!$B$32:$B$45,$B35,IF($I$31=År2,Landbrug!$D$32:$D$45,Landbrug!$E$32:$E$45)),'[1]Afgrødefordeling - jordtype'!$P6)*(1-Landbrug!$E$5)*Arealanvendelse!P$36</f>
        <v>40000.111452135221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492.62301992250912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217.75877487690997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5114.4748217902852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62.987525298344515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27.842966704344128</v>
      </c>
      <c r="R35" s="11">
        <f>IF(Landbrug!$E$47&gt;0,SUMIF(Landbrug!$B$32:$B$45,$B35,IF($R$31=År2,Landbrug!$D$32:$D$45,Landbrug!$E$32:$E$45)),'[1]Afgrødefordeling - jordtype'!$P6)*(Landbrug!$E$5)*Arealanvendelse!P$36</f>
        <v>5114.4748217902852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62.987525298344515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27.842966704344128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24301.063764662133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1448.5180893537304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1600.2190566248526</v>
      </c>
      <c r="I36" s="11">
        <f>IF(Landbrug!$E$47&gt;0,SUMIF(Landbrug!$B$32:$B$45,$B36,IF($I$31=År2,Landbrug!$D$32:$D$45,Landbrug!$E$32:$E$45)),'[1]Afgrødefordeling - jordtype'!$P7)*(1-Landbrug!$E$5)*Arealanvendelse!P$36</f>
        <v>24301.063764662133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1448.5180893537304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1600.2190566248526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3107.1708116565819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185.20971637222684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204.60643176582781</v>
      </c>
      <c r="R36" s="11">
        <f>IF(Landbrug!$E$47&gt;0,SUMIF(Landbrug!$B$32:$B$45,$B36,IF($R$31=År2,Landbrug!$D$32:$D$45,Landbrug!$E$32:$E$45)),'[1]Afgrødefordeling - jordtype'!$P7)*(Landbrug!$E$5)*Arealanvendelse!P$36</f>
        <v>3107.1708116565819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185.20971637222684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204.60643176582781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3807.9830483618994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27.433363911016176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7.5315892702184639</v>
      </c>
      <c r="I37" s="11">
        <f>IF(Landbrug!$E$47&gt;0,SUMIF(Landbrug!$B$32:$B$45,$B37,IF($I$31=År2,Landbrug!$D$32:$D$45,Landbrug!$E$32:$E$45)),'[1]Afgrødefordeling - jordtype'!$P8)*(1-Landbrug!$E$5)*Arealanvendelse!P$36</f>
        <v>3807.9830483618994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27.433363911016176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7.5315892702184639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486.89447893054626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3.5076714515607392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0.96300040905365991</v>
      </c>
      <c r="R37" s="11">
        <f>IF(Landbrug!$E$47&gt;0,SUMIF(Landbrug!$B$32:$B$45,$B37,IF($R$31=År2,Landbrug!$D$32:$D$45,Landbrug!$E$32:$E$45)),'[1]Afgrødefordeling - jordtype'!$P8)*(Landbrug!$E$5)*Arealanvendelse!P$36</f>
        <v>486.89447893054626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3.5076714515607392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0.96300040905365991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2442.8304745575424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46.639229416205815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42.929160380126916</v>
      </c>
      <c r="I38" s="11">
        <f>IF(Landbrug!$E$47&gt;0,SUMIF(Landbrug!$B$32:$B$45,$B38,IF($I$31=År2,Landbrug!$D$32:$D$45,Landbrug!$E$32:$E$45)),'[1]Afgrødefordeling - jordtype'!$P9)*(1-Landbrug!$E$5)*Arealanvendelse!P$36</f>
        <v>2442.8304745575424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46.639229416205815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42.929160380126916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312.34400361551104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5.9633624981850497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5.4889874531346097</v>
      </c>
      <c r="R38" s="11">
        <f>IF(Landbrug!$E$47&gt;0,SUMIF(Landbrug!$B$32:$B$45,$B38,IF($R$31=År2,Landbrug!$D$32:$D$45,Landbrug!$E$32:$E$45)),'[1]Afgrødefordeling - jordtype'!$P9)*(Landbrug!$E$5)*Arealanvendelse!P$36</f>
        <v>312.34400361551104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5.9633624981850497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5.4889874531346097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25394.708101233733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130.30019458265281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49.436602825522812</v>
      </c>
      <c r="I39" s="11">
        <f>IF(Landbrug!$E$47&gt;0,SUMIF(Landbrug!$B$32:$B$45,$B39,IF($I$31=År2,Landbrug!$D$32:$D$45,Landbrug!$E$32:$E$45)),'[1]Afgrødefordeling - jordtype'!$P10)*(1-Landbrug!$E$5)*Arealanvendelse!P$36</f>
        <v>25394.708101233733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130.30019458265281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49.436602825522812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3247.0058326185153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16.660380190810177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6.3210388983175223</v>
      </c>
      <c r="R39" s="11">
        <f>IF(Landbrug!$E$47&gt;0,SUMIF(Landbrug!$B$32:$B$45,$B39,IF($R$31=År2,Landbrug!$D$32:$D$45,Landbrug!$E$32:$E$45)),'[1]Afgrødefordeling - jordtype'!$P10)*(Landbrug!$E$5)*Arealanvendelse!P$36</f>
        <v>3247.0058326185153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16.660380190810177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6.3210388983175223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7182.5684723440072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138.92011496610823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50.77769482584894</v>
      </c>
      <c r="I40" s="11">
        <f>IF(Landbrug!$E$47&gt;0,SUMIF(Landbrug!$B$32:$B$45,$B40,IF($I$31=År2,Landbrug!$D$32:$D$45,Landbrug!$E$32:$E$45)),'[1]Afgrødefordeling - jordtype'!$P11)*(1-Landbrug!$E$5)*Arealanvendelse!P$36</f>
        <v>7182.5684723440072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138.92011496610823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50.77769482584894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918.37408132089615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17.762536264044471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6.4925129522730947</v>
      </c>
      <c r="R40" s="11">
        <f>IF(Landbrug!$E$47&gt;0,SUMIF(Landbrug!$B$32:$B$45,$B40,IF($R$31=År2,Landbrug!$D$32:$D$45,Landbrug!$E$32:$E$45)),'[1]Afgrødefordeling - jordtype'!$P11)*(Landbrug!$E$5)*Arealanvendelse!P$36</f>
        <v>918.37408132089615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17.762536264044471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6.4925129522730947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1671.2488811855812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29.967924514622464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18.425979993464644</v>
      </c>
      <c r="I41" s="11">
        <f>IF(Landbrug!$E$47&gt;0,SUMIF(Landbrug!$B$32:$B$45,$B41,IF($I$31=År2,Landbrug!$D$32:$D$45,Landbrug!$E$32:$E$45)),'[1]Afgrødefordeling - jordtype'!$P12)*(1-Landbrug!$E$5)*Arealanvendelse!P$36</f>
        <v>1671.2488811855812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29.967924514622464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18.425979993464644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213.68841269347433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3.8317442083818705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2.3559737041271651</v>
      </c>
      <c r="R41" s="11">
        <f>IF(Landbrug!$E$47&gt;0,SUMIF(Landbrug!$B$32:$B$45,$B41,IF($R$31=År2,Landbrug!$D$32:$D$45,Landbrug!$E$32:$E$45)),'[1]Afgrødefordeling - jordtype'!$P12)*(Landbrug!$E$5)*Arealanvendelse!P$36</f>
        <v>213.68841269347433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3.8317442083818705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2.3559737041271651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11933.527586925724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213.98551582841313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131.57043396921489</v>
      </c>
      <c r="I42" s="11">
        <f>IF(Landbrug!$E$47&gt;0,SUMIF(Landbrug!$B$32:$B$45,$B42,IF($I$31=År2,Landbrug!$D$32:$D$45,Landbrug!$E$32:$E$45)),'[1]Afgrødefordeling - jordtype'!$P13)*(1-Landbrug!$E$5)*Arealanvendelse!P$36</f>
        <v>11933.527586925724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213.98551582841313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131.57043396921489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1525.8389080116776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27.360512088618318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16.822794922278913</v>
      </c>
      <c r="R42" s="11">
        <f>IF(Landbrug!$E$47&gt;0,SUMIF(Landbrug!$B$32:$B$45,$B42,IF($R$31=År2,Landbrug!$D$32:$D$45,Landbrug!$E$32:$E$45)),'[1]Afgrødefordeling - jordtype'!$P13)*(Landbrug!$E$5)*Arealanvendelse!P$36</f>
        <v>1525.8389080116776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27.360512088618318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16.822794922278913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36921.98237863728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1553.5246973467163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1231.2594774737624</v>
      </c>
      <c r="I43" s="11">
        <f>IF(Landbrug!$E$47&gt;0,SUMIF(Landbrug!$B$32:$B$45,$B43,IF($I$31=År2,Landbrug!$D$32:$D$45,Landbrug!$E$32:$E$45)),'[1]Afgrødefordeling - jordtype'!$P14)*(1-Landbrug!$E$5)*Arealanvendelse!P$36</f>
        <v>36921.98237863728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1553.5246973467163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1231.2594774737624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4720.9005772918872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198.63602028001407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157.43070126606042</v>
      </c>
      <c r="R43" s="11">
        <f>IF(Landbrug!$E$47&gt;0,SUMIF(Landbrug!$B$32:$B$45,$B43,IF($R$31=År2,Landbrug!$D$32:$D$45,Landbrug!$E$32:$E$45)),'[1]Afgrødefordeling - jordtype'!$P14)*(Landbrug!$E$5)*Arealanvendelse!P$36</f>
        <v>4720.9005772918872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198.63602028001407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157.43070126606042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2618.8374863482281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46.959567177853828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28.873405794208168</v>
      </c>
      <c r="I44" s="11">
        <f>IF(Landbrug!$E$47&gt;0,SUMIF(Landbrug!$B$32:$B$45,$B44,IF($I$31=År2,Landbrug!$D$32:$D$45,Landbrug!$E$32:$E$45)),'[1]Afgrødefordeling - jordtype'!$P15)*(1-Landbrug!$E$5)*Arealanvendelse!P$36</f>
        <v>2618.8374863482281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46.959567177853828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28.873405794208168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334.84852666763254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6.0043213694716444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3.6917973873777457</v>
      </c>
      <c r="R44" s="11">
        <f>IF(Landbrug!$E$47&gt;0,SUMIF(Landbrug!$B$32:$B$45,$B44,IF($R$31=År2,Landbrug!$D$32:$D$45,Landbrug!$E$32:$E$45)),'[1]Afgrødefordeling - jordtype'!$P15)*(Landbrug!$E$5)*Arealanvendelse!P$36</f>
        <v>334.84852666763254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6.0043213694716444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3.6917973873777457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1244.8278589023382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99.665740475516856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88.075992959070447</v>
      </c>
      <c r="I45" s="11">
        <f>IF(Landbrug!$E$47&gt;0,SUMIF(Landbrug!$B$32:$B$45,$B45,IF($I$31=År2,Landbrug!$D$32:$D$45,Landbrug!$E$32:$E$45)),'[1]Afgrødefordeling - jordtype'!$P16)*(1-Landbrug!$E$5)*Arealanvendelse!P$36</f>
        <v>1244.8278589023382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99.665740475516856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88.075992959070447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159.16557506189815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12.743412499414573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11.261529831794967</v>
      </c>
      <c r="R45" s="11">
        <f>IF(Landbrug!$E$47&gt;0,SUMIF(Landbrug!$B$32:$B$45,$B45,IF($R$31=År2,Landbrug!$D$32:$D$45,Landbrug!$E$32:$E$45)),'[1]Afgrødefordeling - jordtype'!$P16)*(Landbrug!$E$5)*Arealanvendelse!P$36</f>
        <v>159.16557506189815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12.743412499414573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11.261529831794967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31005.186770121774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2888.4585009987431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3062.9609623912415</v>
      </c>
      <c r="I46" s="11">
        <f>IF(Landbrug!$E$47&gt;0,SUMIF(Landbrug!$B$32:$B$45,$B46,IF($I$31=År2,Landbrug!$D$32:$D$45,Landbrug!$E$32:$E$45)),'[1]Afgrødefordeling - jordtype'!$P17)*(1-Landbrug!$E$5)*Arealanvendelse!P$36</f>
        <v>31005.186770121774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2888.4585009987431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3062.9609623912415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3964.3701310794295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369.32267788357871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391.63482684347179</v>
      </c>
      <c r="R46" s="11">
        <f>IF(Landbrug!$E$47&gt;0,SUMIF(Landbrug!$B$32:$B$45,$B46,IF($R$31=År2,Landbrug!$D$32:$D$45,Landbrug!$E$32:$E$45)),'[1]Afgrødefordeling - jordtype'!$P17)*(Landbrug!$E$5)*Arealanvendelse!P$36</f>
        <v>3964.3701310794295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369.32267788357871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391.63482684347179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484155.06156618823</v>
      </c>
      <c r="G47" s="38">
        <f t="shared" si="3"/>
        <v>11749.115159080215</v>
      </c>
      <c r="H47" s="38">
        <f t="shared" si="3"/>
        <v>9028.7522831991682</v>
      </c>
      <c r="I47" s="38">
        <f t="shared" si="3"/>
        <v>484155.06156618823</v>
      </c>
      <c r="J47" s="38">
        <f t="shared" si="3"/>
        <v>11749.115159080215</v>
      </c>
      <c r="K47" s="39">
        <f t="shared" si="3"/>
        <v>9028.7522831991682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61904.799320013248</v>
      </c>
      <c r="P47" s="38">
        <f t="shared" si="3"/>
        <v>1502.259655734601</v>
      </c>
      <c r="Q47" s="38">
        <f t="shared" si="3"/>
        <v>1154.429939023051</v>
      </c>
      <c r="R47" s="38">
        <f t="shared" si="3"/>
        <v>61904.799320013248</v>
      </c>
      <c r="S47" s="38">
        <f t="shared" si="3"/>
        <v>1502.259655734601</v>
      </c>
      <c r="T47" s="39">
        <f t="shared" si="3"/>
        <v>1154.429939023051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8" t="s">
        <v>7</v>
      </c>
      <c r="D49" s="449"/>
      <c r="E49" s="450"/>
      <c r="F49" s="451" t="s">
        <v>8</v>
      </c>
      <c r="G49" s="449"/>
      <c r="H49" s="45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1541102</v>
      </c>
      <c r="E51" s="23">
        <f>SUM([1]Dyrehold!$E$22:$E$23)-H51</f>
        <v>1541102</v>
      </c>
      <c r="F51" s="50">
        <f>SUM([1]Dyrehold!C58:D61)</f>
        <v>15447</v>
      </c>
      <c r="G51" s="11">
        <f>$F51/Landbrug!$C6*Landbrug!D6</f>
        <v>15447</v>
      </c>
      <c r="H51" s="23">
        <f>$F51/Landbrug!$C6*Landbrug!E6</f>
        <v>15447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82455</v>
      </c>
      <c r="E52" s="23">
        <f>SUM([1]Dyrehold!$D$22:$D$23)-H52</f>
        <v>82455</v>
      </c>
      <c r="F52" s="50">
        <f>SUM([1]Dyrehold!C36:D51)</f>
        <v>16513</v>
      </c>
      <c r="G52" s="11">
        <f>$F52/Landbrug!$C7*Landbrug!D7</f>
        <v>16513</v>
      </c>
      <c r="H52" s="23">
        <f>$F52/Landbrug!$C7*Landbrug!E7</f>
        <v>16513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1570560</v>
      </c>
      <c r="E53" s="24">
        <f>SUM([1]Dyrehold!$F$22:$F$23)-H53</f>
        <v>1570560</v>
      </c>
      <c r="F53" s="51">
        <f>SUM([1]Dyrehold!C65:D78)</f>
        <v>214987</v>
      </c>
      <c r="G53" s="16">
        <f>$F53/Landbrug!$C8*Landbrug!D8</f>
        <v>214987</v>
      </c>
      <c r="H53" s="24">
        <f>$F53/Landbrug!$C8*Landbrug!E8</f>
        <v>214987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172</v>
      </c>
      <c r="B3" s="77" t="s">
        <v>61</v>
      </c>
    </row>
    <row r="4" spans="1:44" x14ac:dyDescent="0.25">
      <c r="A4" s="77" t="s">
        <v>59</v>
      </c>
      <c r="B4" s="168" t="s">
        <v>15</v>
      </c>
      <c r="C4" s="168" t="s">
        <v>48</v>
      </c>
      <c r="D4" s="168" t="s">
        <v>100</v>
      </c>
      <c r="E4" s="168" t="s">
        <v>99</v>
      </c>
      <c r="F4" s="168" t="s">
        <v>19</v>
      </c>
      <c r="G4" s="168" t="s">
        <v>135</v>
      </c>
      <c r="H4" s="168" t="s">
        <v>94</v>
      </c>
      <c r="I4" s="168" t="s">
        <v>53</v>
      </c>
      <c r="J4" s="168" t="s">
        <v>156</v>
      </c>
      <c r="K4" s="168" t="s">
        <v>50</v>
      </c>
      <c r="L4" s="168" t="s">
        <v>6</v>
      </c>
      <c r="M4" s="168" t="s">
        <v>65</v>
      </c>
      <c r="N4" s="168" t="s">
        <v>160</v>
      </c>
      <c r="O4" s="168" t="s">
        <v>157</v>
      </c>
      <c r="P4" s="168" t="s">
        <v>101</v>
      </c>
      <c r="Q4" s="168" t="s">
        <v>12</v>
      </c>
      <c r="R4" s="168" t="s">
        <v>47</v>
      </c>
      <c r="S4" s="168" t="s">
        <v>134</v>
      </c>
      <c r="T4" s="168" t="s">
        <v>106</v>
      </c>
      <c r="U4" s="168" t="s">
        <v>52</v>
      </c>
      <c r="V4" s="168" t="s">
        <v>114</v>
      </c>
      <c r="W4" s="168" t="s">
        <v>104</v>
      </c>
      <c r="X4" s="168" t="s">
        <v>14</v>
      </c>
      <c r="Y4" s="168" t="s">
        <v>49</v>
      </c>
      <c r="Z4" s="168" t="s">
        <v>51</v>
      </c>
      <c r="AA4" s="168" t="s">
        <v>105</v>
      </c>
      <c r="AB4" s="168" t="s">
        <v>138</v>
      </c>
      <c r="AC4" s="168" t="s">
        <v>133</v>
      </c>
      <c r="AD4" s="168" t="s">
        <v>13</v>
      </c>
      <c r="AE4" s="168" t="s">
        <v>97</v>
      </c>
      <c r="AF4" s="168" t="s">
        <v>93</v>
      </c>
      <c r="AG4" s="168" t="s">
        <v>117</v>
      </c>
      <c r="AH4" s="168" t="s">
        <v>202</v>
      </c>
      <c r="AI4" s="168" t="s">
        <v>201</v>
      </c>
      <c r="AJ4" s="168" t="s">
        <v>206</v>
      </c>
      <c r="AK4" s="168" t="s">
        <v>236</v>
      </c>
      <c r="AL4" s="168" t="s">
        <v>229</v>
      </c>
      <c r="AM4" s="168" t="s">
        <v>108</v>
      </c>
      <c r="AN4" s="168" t="s">
        <v>113</v>
      </c>
      <c r="AO4" s="168" t="s">
        <v>301</v>
      </c>
      <c r="AP4" s="168" t="s">
        <v>302</v>
      </c>
      <c r="AQ4" s="168" t="s">
        <v>116</v>
      </c>
      <c r="AR4" s="168" t="s">
        <v>60</v>
      </c>
    </row>
    <row r="5" spans="1:44" x14ac:dyDescent="0.25">
      <c r="A5" s="78" t="s">
        <v>107</v>
      </c>
      <c r="B5" s="236"/>
      <c r="C5" s="236"/>
      <c r="D5" s="236">
        <v>729134</v>
      </c>
      <c r="E5" s="236">
        <v>5854854.9472723883</v>
      </c>
      <c r="F5" s="236"/>
      <c r="G5" s="236">
        <v>19628.463153389632</v>
      </c>
      <c r="H5" s="236"/>
      <c r="I5" s="236"/>
      <c r="J5" s="236">
        <v>428226</v>
      </c>
      <c r="K5" s="236">
        <v>85676.999999999985</v>
      </c>
      <c r="L5" s="236"/>
      <c r="M5" s="236">
        <v>75934</v>
      </c>
      <c r="N5" s="236">
        <v>1730078</v>
      </c>
      <c r="O5" s="236"/>
      <c r="P5" s="236">
        <v>995654</v>
      </c>
      <c r="Q5" s="236"/>
      <c r="R5" s="236">
        <v>3785.9999999999991</v>
      </c>
      <c r="S5" s="236">
        <v>27059730.698022246</v>
      </c>
      <c r="T5" s="236"/>
      <c r="U5" s="236">
        <v>330026</v>
      </c>
      <c r="V5" s="236"/>
      <c r="W5" s="236">
        <v>0</v>
      </c>
      <c r="X5" s="236"/>
      <c r="Y5" s="236"/>
      <c r="Z5" s="236">
        <v>28645.000000000004</v>
      </c>
      <c r="AA5" s="236"/>
      <c r="AB5" s="236">
        <v>15017210.496861221</v>
      </c>
      <c r="AC5" s="236">
        <v>30730359.382071417</v>
      </c>
      <c r="AD5" s="236"/>
      <c r="AE5" s="236">
        <v>0</v>
      </c>
      <c r="AF5" s="236"/>
      <c r="AG5" s="236"/>
      <c r="AH5" s="236"/>
      <c r="AI5" s="236"/>
      <c r="AJ5" s="236">
        <v>2709014.740563605</v>
      </c>
      <c r="AK5" s="236"/>
      <c r="AL5" s="236"/>
      <c r="AM5" s="236"/>
      <c r="AN5" s="236"/>
      <c r="AO5" s="236"/>
      <c r="AP5" s="236"/>
      <c r="AQ5" s="236"/>
      <c r="AR5" s="236">
        <v>85797958.72794427</v>
      </c>
    </row>
    <row r="6" spans="1:44" x14ac:dyDescent="0.25">
      <c r="A6" s="79">
        <v>2019</v>
      </c>
      <c r="B6" s="236"/>
      <c r="C6" s="236"/>
      <c r="D6" s="236">
        <v>729134</v>
      </c>
      <c r="E6" s="236">
        <v>757087.00000000012</v>
      </c>
      <c r="F6" s="236"/>
      <c r="G6" s="236">
        <v>4441.5</v>
      </c>
      <c r="H6" s="236"/>
      <c r="I6" s="236"/>
      <c r="J6" s="236">
        <v>142742</v>
      </c>
      <c r="K6" s="236">
        <v>85676.999999999985</v>
      </c>
      <c r="L6" s="236"/>
      <c r="M6" s="236">
        <v>75934</v>
      </c>
      <c r="N6" s="236">
        <v>78</v>
      </c>
      <c r="O6" s="236"/>
      <c r="P6" s="236">
        <v>995654</v>
      </c>
      <c r="Q6" s="236"/>
      <c r="R6" s="236">
        <v>3785.9999999999991</v>
      </c>
      <c r="S6" s="236">
        <v>4353509.666666667</v>
      </c>
      <c r="T6" s="236"/>
      <c r="U6" s="236">
        <v>330026</v>
      </c>
      <c r="V6" s="236"/>
      <c r="W6" s="236">
        <v>0</v>
      </c>
      <c r="X6" s="236"/>
      <c r="Y6" s="236"/>
      <c r="Z6" s="236">
        <v>28645.000000000004</v>
      </c>
      <c r="AA6" s="236"/>
      <c r="AB6" s="236">
        <v>2668834</v>
      </c>
      <c r="AC6" s="236">
        <v>2914869.3333333335</v>
      </c>
      <c r="AD6" s="236"/>
      <c r="AE6" s="236">
        <v>0</v>
      </c>
      <c r="AF6" s="236"/>
      <c r="AG6" s="236"/>
      <c r="AH6" s="236"/>
      <c r="AI6" s="236"/>
      <c r="AJ6" s="236">
        <v>0</v>
      </c>
      <c r="AK6" s="236"/>
      <c r="AL6" s="236"/>
      <c r="AM6" s="236"/>
      <c r="AN6" s="236"/>
      <c r="AO6" s="236"/>
      <c r="AP6" s="236"/>
      <c r="AQ6" s="236"/>
      <c r="AR6" s="236">
        <v>13090417.500000002</v>
      </c>
    </row>
    <row r="7" spans="1:44" x14ac:dyDescent="0.25">
      <c r="A7" s="79">
        <v>2030</v>
      </c>
      <c r="B7" s="236"/>
      <c r="C7" s="236"/>
      <c r="D7" s="236">
        <v>0</v>
      </c>
      <c r="E7" s="236">
        <v>2258235.6960382708</v>
      </c>
      <c r="F7" s="236"/>
      <c r="G7" s="236">
        <v>6782.1960455237531</v>
      </c>
      <c r="H7" s="236"/>
      <c r="I7" s="236"/>
      <c r="J7" s="236">
        <v>142742</v>
      </c>
      <c r="K7" s="236">
        <v>0</v>
      </c>
      <c r="L7" s="236"/>
      <c r="M7" s="236">
        <v>0</v>
      </c>
      <c r="N7" s="236">
        <v>750000</v>
      </c>
      <c r="O7" s="236"/>
      <c r="P7" s="236">
        <v>0</v>
      </c>
      <c r="Q7" s="236"/>
      <c r="R7" s="236">
        <v>0</v>
      </c>
      <c r="S7" s="236">
        <v>10429714.413001494</v>
      </c>
      <c r="T7" s="236"/>
      <c r="U7" s="236">
        <v>0</v>
      </c>
      <c r="V7" s="236"/>
      <c r="W7" s="236">
        <v>0</v>
      </c>
      <c r="X7" s="236"/>
      <c r="Y7" s="236"/>
      <c r="Z7" s="236">
        <v>0</v>
      </c>
      <c r="AA7" s="236"/>
      <c r="AB7" s="236">
        <v>5488473.8162016999</v>
      </c>
      <c r="AC7" s="236">
        <v>12944349.760442935</v>
      </c>
      <c r="AD7" s="236"/>
      <c r="AE7" s="236">
        <v>0</v>
      </c>
      <c r="AF7" s="236"/>
      <c r="AG7" s="236"/>
      <c r="AH7" s="236"/>
      <c r="AI7" s="236"/>
      <c r="AJ7" s="236">
        <v>947207.95124601573</v>
      </c>
      <c r="AK7" s="236"/>
      <c r="AL7" s="236"/>
      <c r="AM7" s="236"/>
      <c r="AN7" s="236"/>
      <c r="AO7" s="236"/>
      <c r="AP7" s="236"/>
      <c r="AQ7" s="236"/>
      <c r="AR7" s="236">
        <v>32967505.832975939</v>
      </c>
    </row>
    <row r="8" spans="1:44" x14ac:dyDescent="0.25">
      <c r="A8" s="79">
        <v>2050</v>
      </c>
      <c r="B8" s="236"/>
      <c r="C8" s="236"/>
      <c r="D8" s="236">
        <v>0</v>
      </c>
      <c r="E8" s="236">
        <v>2839532.2512341179</v>
      </c>
      <c r="F8" s="236"/>
      <c r="G8" s="236">
        <v>8404.7671078658768</v>
      </c>
      <c r="H8" s="236"/>
      <c r="I8" s="236"/>
      <c r="J8" s="236">
        <v>142742</v>
      </c>
      <c r="K8" s="236">
        <v>0</v>
      </c>
      <c r="L8" s="236"/>
      <c r="M8" s="236">
        <v>0</v>
      </c>
      <c r="N8" s="236">
        <v>980000</v>
      </c>
      <c r="O8" s="236"/>
      <c r="P8" s="236">
        <v>0</v>
      </c>
      <c r="Q8" s="236"/>
      <c r="R8" s="236">
        <v>0</v>
      </c>
      <c r="S8" s="236">
        <v>12276506.618354084</v>
      </c>
      <c r="T8" s="236"/>
      <c r="U8" s="236">
        <v>0</v>
      </c>
      <c r="V8" s="236"/>
      <c r="W8" s="236">
        <v>0</v>
      </c>
      <c r="X8" s="236"/>
      <c r="Y8" s="236"/>
      <c r="Z8" s="236">
        <v>0</v>
      </c>
      <c r="AA8" s="236"/>
      <c r="AB8" s="236">
        <v>6859902.6806595214</v>
      </c>
      <c r="AC8" s="236">
        <v>14871140.288295148</v>
      </c>
      <c r="AD8" s="236"/>
      <c r="AE8" s="236">
        <v>0</v>
      </c>
      <c r="AF8" s="236"/>
      <c r="AG8" s="236"/>
      <c r="AH8" s="236"/>
      <c r="AI8" s="236"/>
      <c r="AJ8" s="236">
        <v>1761806.7893175895</v>
      </c>
      <c r="AK8" s="236"/>
      <c r="AL8" s="236"/>
      <c r="AM8" s="236"/>
      <c r="AN8" s="236"/>
      <c r="AO8" s="236"/>
      <c r="AP8" s="236"/>
      <c r="AQ8" s="236"/>
      <c r="AR8" s="236">
        <v>39740035.394968331</v>
      </c>
    </row>
    <row r="9" spans="1:44" x14ac:dyDescent="0.25">
      <c r="A9" s="78" t="s">
        <v>110</v>
      </c>
      <c r="B9" s="236"/>
      <c r="C9" s="236">
        <v>217245.27668679622</v>
      </c>
      <c r="D9" s="236"/>
      <c r="E9" s="236"/>
      <c r="F9" s="236"/>
      <c r="G9" s="236"/>
      <c r="H9" s="236"/>
      <c r="I9" s="236"/>
      <c r="J9" s="236"/>
      <c r="K9" s="236">
        <v>40530471.827939324</v>
      </c>
      <c r="L9" s="236"/>
      <c r="M9" s="236">
        <v>2431071.9109764313</v>
      </c>
      <c r="N9" s="236"/>
      <c r="O9" s="236">
        <v>8131611.3982071662</v>
      </c>
      <c r="P9" s="236"/>
      <c r="Q9" s="236">
        <v>0</v>
      </c>
      <c r="R9" s="236">
        <v>19754785.686026674</v>
      </c>
      <c r="S9" s="236"/>
      <c r="T9" s="236">
        <v>4785167.0812693574</v>
      </c>
      <c r="U9" s="236">
        <v>19750153.886379652</v>
      </c>
      <c r="V9" s="236"/>
      <c r="W9" s="236">
        <v>421337.14221617021</v>
      </c>
      <c r="X9" s="236"/>
      <c r="Y9" s="236"/>
      <c r="Z9" s="236">
        <v>11379647.661048282</v>
      </c>
      <c r="AA9" s="236">
        <v>146868.41329115626</v>
      </c>
      <c r="AB9" s="236"/>
      <c r="AC9" s="236"/>
      <c r="AD9" s="236"/>
      <c r="AE9" s="236">
        <v>218413.73916352939</v>
      </c>
      <c r="AF9" s="236"/>
      <c r="AG9" s="236"/>
      <c r="AH9" s="236">
        <v>2304144.9406262441</v>
      </c>
      <c r="AI9" s="236">
        <v>1101758.32351872</v>
      </c>
      <c r="AJ9" s="236"/>
      <c r="AK9" s="236">
        <v>829533.07706806227</v>
      </c>
      <c r="AL9" s="236"/>
      <c r="AM9" s="236"/>
      <c r="AN9" s="236"/>
      <c r="AO9" s="236"/>
      <c r="AP9" s="236"/>
      <c r="AQ9" s="236"/>
      <c r="AR9" s="236">
        <v>112002210.36441757</v>
      </c>
    </row>
    <row r="10" spans="1:44" x14ac:dyDescent="0.25">
      <c r="A10" s="79">
        <v>2019</v>
      </c>
      <c r="B10" s="236"/>
      <c r="C10" s="236">
        <v>72415.092228932088</v>
      </c>
      <c r="D10" s="236"/>
      <c r="E10" s="236"/>
      <c r="F10" s="236"/>
      <c r="G10" s="236"/>
      <c r="H10" s="236"/>
      <c r="I10" s="236"/>
      <c r="J10" s="236"/>
      <c r="K10" s="236">
        <v>13739757.985270014</v>
      </c>
      <c r="L10" s="236"/>
      <c r="M10" s="236">
        <v>867975.34157733875</v>
      </c>
      <c r="N10" s="236"/>
      <c r="O10" s="236">
        <v>5421074.2654714445</v>
      </c>
      <c r="P10" s="236"/>
      <c r="Q10" s="236">
        <v>0</v>
      </c>
      <c r="R10" s="236">
        <v>6600836.8097011279</v>
      </c>
      <c r="S10" s="236"/>
      <c r="T10" s="236">
        <v>1701754.6673799041</v>
      </c>
      <c r="U10" s="236">
        <v>6351407.0475792512</v>
      </c>
      <c r="V10" s="236"/>
      <c r="W10" s="236">
        <v>0</v>
      </c>
      <c r="X10" s="236"/>
      <c r="Y10" s="236"/>
      <c r="Z10" s="236">
        <v>944413.49448565592</v>
      </c>
      <c r="AA10" s="236">
        <v>44253.667473236274</v>
      </c>
      <c r="AB10" s="236"/>
      <c r="AC10" s="236"/>
      <c r="AD10" s="236"/>
      <c r="AE10" s="236">
        <v>0</v>
      </c>
      <c r="AF10" s="236"/>
      <c r="AG10" s="236"/>
      <c r="AH10" s="236">
        <v>0</v>
      </c>
      <c r="AI10" s="236">
        <v>0</v>
      </c>
      <c r="AJ10" s="236"/>
      <c r="AK10" s="236">
        <v>240377.87559326066</v>
      </c>
      <c r="AL10" s="236"/>
      <c r="AM10" s="236"/>
      <c r="AN10" s="236"/>
      <c r="AO10" s="236"/>
      <c r="AP10" s="236"/>
      <c r="AQ10" s="236"/>
      <c r="AR10" s="236">
        <v>35984266.24676016</v>
      </c>
    </row>
    <row r="11" spans="1:44" x14ac:dyDescent="0.25">
      <c r="A11" s="79">
        <v>2030</v>
      </c>
      <c r="B11" s="236"/>
      <c r="C11" s="236">
        <v>72415.092228932073</v>
      </c>
      <c r="D11" s="236"/>
      <c r="E11" s="236"/>
      <c r="F11" s="236"/>
      <c r="G11" s="236"/>
      <c r="H11" s="236"/>
      <c r="I11" s="236"/>
      <c r="J11" s="236"/>
      <c r="K11" s="236">
        <v>13395356.921334656</v>
      </c>
      <c r="L11" s="236"/>
      <c r="M11" s="236">
        <v>781548.28469954629</v>
      </c>
      <c r="N11" s="236"/>
      <c r="O11" s="236">
        <v>2710537.1327357218</v>
      </c>
      <c r="P11" s="236"/>
      <c r="Q11" s="236">
        <v>0</v>
      </c>
      <c r="R11" s="236">
        <v>6601730.9291470749</v>
      </c>
      <c r="S11" s="236"/>
      <c r="T11" s="236">
        <v>1541706.2069447264</v>
      </c>
      <c r="U11" s="236">
        <v>6447095.7592554223</v>
      </c>
      <c r="V11" s="236"/>
      <c r="W11" s="236">
        <v>158001.4283310638</v>
      </c>
      <c r="X11" s="236"/>
      <c r="Y11" s="236"/>
      <c r="Z11" s="236">
        <v>2048036.6121291136</v>
      </c>
      <c r="AA11" s="236">
        <v>48606.984861119992</v>
      </c>
      <c r="AB11" s="236"/>
      <c r="AC11" s="236"/>
      <c r="AD11" s="236"/>
      <c r="AE11" s="236">
        <v>109206.86958176469</v>
      </c>
      <c r="AF11" s="236"/>
      <c r="AG11" s="236"/>
      <c r="AH11" s="236">
        <v>912057.37233122147</v>
      </c>
      <c r="AI11" s="236">
        <v>432062.08765439998</v>
      </c>
      <c r="AJ11" s="236"/>
      <c r="AK11" s="236">
        <v>294577.60073740082</v>
      </c>
      <c r="AL11" s="236"/>
      <c r="AM11" s="236"/>
      <c r="AN11" s="236"/>
      <c r="AO11" s="236"/>
      <c r="AP11" s="236"/>
      <c r="AQ11" s="236"/>
      <c r="AR11" s="236">
        <v>35552939.281972162</v>
      </c>
    </row>
    <row r="12" spans="1:44" x14ac:dyDescent="0.25">
      <c r="A12" s="79">
        <v>2050</v>
      </c>
      <c r="B12" s="236"/>
      <c r="C12" s="236">
        <v>72415.092228932073</v>
      </c>
      <c r="D12" s="236"/>
      <c r="E12" s="236"/>
      <c r="F12" s="236"/>
      <c r="G12" s="236"/>
      <c r="H12" s="236"/>
      <c r="I12" s="236"/>
      <c r="J12" s="236"/>
      <c r="K12" s="236">
        <v>13395356.921334656</v>
      </c>
      <c r="L12" s="236"/>
      <c r="M12" s="236">
        <v>781548.28469954629</v>
      </c>
      <c r="N12" s="236"/>
      <c r="O12" s="236">
        <v>0</v>
      </c>
      <c r="P12" s="236"/>
      <c r="Q12" s="236">
        <v>0</v>
      </c>
      <c r="R12" s="236">
        <v>6552217.9471784709</v>
      </c>
      <c r="S12" s="236"/>
      <c r="T12" s="236">
        <v>1541706.2069447264</v>
      </c>
      <c r="U12" s="236">
        <v>6951651.0795449764</v>
      </c>
      <c r="V12" s="236"/>
      <c r="W12" s="236">
        <v>263335.71388510638</v>
      </c>
      <c r="X12" s="236"/>
      <c r="Y12" s="236"/>
      <c r="Z12" s="236">
        <v>8387197.5544335125</v>
      </c>
      <c r="AA12" s="236">
        <v>54007.760956799997</v>
      </c>
      <c r="AB12" s="236"/>
      <c r="AC12" s="236"/>
      <c r="AD12" s="236"/>
      <c r="AE12" s="236">
        <v>109206.86958176469</v>
      </c>
      <c r="AF12" s="236"/>
      <c r="AG12" s="236"/>
      <c r="AH12" s="236">
        <v>1392087.5682950225</v>
      </c>
      <c r="AI12" s="236">
        <v>669696.23586431995</v>
      </c>
      <c r="AJ12" s="236"/>
      <c r="AK12" s="236">
        <v>294577.60073740082</v>
      </c>
      <c r="AL12" s="236"/>
      <c r="AM12" s="236"/>
      <c r="AN12" s="236"/>
      <c r="AO12" s="236"/>
      <c r="AP12" s="236"/>
      <c r="AQ12" s="236"/>
      <c r="AR12" s="236">
        <v>40465004.835685238</v>
      </c>
    </row>
    <row r="13" spans="1:44" x14ac:dyDescent="0.25">
      <c r="A13" s="78" t="s">
        <v>125</v>
      </c>
      <c r="B13" s="236">
        <v>182574.19618217932</v>
      </c>
      <c r="C13" s="236">
        <v>250070.75532096261</v>
      </c>
      <c r="D13" s="236"/>
      <c r="E13" s="236"/>
      <c r="F13" s="236">
        <v>281468.55244752642</v>
      </c>
      <c r="G13" s="236"/>
      <c r="H13" s="236">
        <v>157152.21479103784</v>
      </c>
      <c r="I13" s="236">
        <v>1445379.0531089196</v>
      </c>
      <c r="J13" s="236"/>
      <c r="K13" s="236"/>
      <c r="L13" s="236">
        <v>1513844.376677237</v>
      </c>
      <c r="M13" s="236"/>
      <c r="N13" s="236"/>
      <c r="O13" s="236"/>
      <c r="P13" s="236"/>
      <c r="Q13" s="236">
        <v>692260.49385742994</v>
      </c>
      <c r="R13" s="236">
        <v>1658382.281988129</v>
      </c>
      <c r="S13" s="236"/>
      <c r="T13" s="236"/>
      <c r="U13" s="236"/>
      <c r="V13" s="236">
        <v>2647325.8446415998</v>
      </c>
      <c r="W13" s="236">
        <v>0</v>
      </c>
      <c r="X13" s="236">
        <v>267279.65146383434</v>
      </c>
      <c r="Y13" s="236"/>
      <c r="Z13" s="236"/>
      <c r="AA13" s="236"/>
      <c r="AB13" s="236"/>
      <c r="AC13" s="236"/>
      <c r="AD13" s="236">
        <v>542658.68630536064</v>
      </c>
      <c r="AE13" s="236">
        <v>0</v>
      </c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>
        <v>9638396.1067842171</v>
      </c>
    </row>
    <row r="14" spans="1:44" x14ac:dyDescent="0.25">
      <c r="A14" s="79">
        <v>2019</v>
      </c>
      <c r="B14" s="236">
        <v>58403.100598004137</v>
      </c>
      <c r="C14" s="236">
        <v>0</v>
      </c>
      <c r="D14" s="236"/>
      <c r="E14" s="236"/>
      <c r="F14" s="236">
        <v>90038.113421923044</v>
      </c>
      <c r="G14" s="236"/>
      <c r="H14" s="236">
        <v>63270.025647837821</v>
      </c>
      <c r="I14" s="236">
        <v>462357.87973419944</v>
      </c>
      <c r="J14" s="236"/>
      <c r="K14" s="236"/>
      <c r="L14" s="236">
        <v>484259.042458451</v>
      </c>
      <c r="M14" s="236"/>
      <c r="N14" s="236"/>
      <c r="O14" s="236"/>
      <c r="P14" s="236"/>
      <c r="Q14" s="236">
        <v>221445.08976743236</v>
      </c>
      <c r="R14" s="236">
        <v>530494.83043187088</v>
      </c>
      <c r="S14" s="236"/>
      <c r="T14" s="236"/>
      <c r="U14" s="236"/>
      <c r="V14" s="236">
        <v>846844.95867106004</v>
      </c>
      <c r="W14" s="236">
        <v>0</v>
      </c>
      <c r="X14" s="236">
        <v>107607.71285182264</v>
      </c>
      <c r="Y14" s="236"/>
      <c r="Z14" s="236"/>
      <c r="AA14" s="236"/>
      <c r="AB14" s="236"/>
      <c r="AC14" s="236"/>
      <c r="AD14" s="236">
        <v>218476.26548703379</v>
      </c>
      <c r="AE14" s="236">
        <v>0</v>
      </c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>
        <v>3083197.0190696353</v>
      </c>
    </row>
    <row r="15" spans="1:44" x14ac:dyDescent="0.25">
      <c r="A15" s="79">
        <v>2030</v>
      </c>
      <c r="B15" s="236">
        <v>60789.12467762841</v>
      </c>
      <c r="C15" s="236">
        <v>81052.166236837889</v>
      </c>
      <c r="D15" s="236"/>
      <c r="E15" s="236"/>
      <c r="F15" s="236">
        <v>93716.56721134379</v>
      </c>
      <c r="G15" s="236"/>
      <c r="H15" s="236">
        <v>52683.90805394463</v>
      </c>
      <c r="I15" s="236">
        <v>481247.23703122488</v>
      </c>
      <c r="J15" s="236"/>
      <c r="K15" s="236"/>
      <c r="L15" s="236">
        <v>504043.1587853356</v>
      </c>
      <c r="M15" s="236"/>
      <c r="N15" s="236"/>
      <c r="O15" s="236"/>
      <c r="P15" s="236"/>
      <c r="Q15" s="236">
        <v>230492.09773600774</v>
      </c>
      <c r="R15" s="236">
        <v>552167.88248845807</v>
      </c>
      <c r="S15" s="236"/>
      <c r="T15" s="236"/>
      <c r="U15" s="236"/>
      <c r="V15" s="236">
        <v>881442.3078256119</v>
      </c>
      <c r="W15" s="236">
        <v>0</v>
      </c>
      <c r="X15" s="236">
        <v>89603.169774824273</v>
      </c>
      <c r="Y15" s="236"/>
      <c r="Z15" s="236"/>
      <c r="AA15" s="236"/>
      <c r="AB15" s="236"/>
      <c r="AC15" s="236"/>
      <c r="AD15" s="236">
        <v>181921.58711858263</v>
      </c>
      <c r="AE15" s="236">
        <v>0</v>
      </c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>
        <v>3209159.2069398002</v>
      </c>
    </row>
    <row r="16" spans="1:44" x14ac:dyDescent="0.25">
      <c r="A16" s="79">
        <v>2050</v>
      </c>
      <c r="B16" s="236">
        <v>63381.970906546776</v>
      </c>
      <c r="C16" s="236">
        <v>169018.58908412472</v>
      </c>
      <c r="D16" s="236"/>
      <c r="E16" s="236"/>
      <c r="F16" s="236">
        <v>97713.871814259604</v>
      </c>
      <c r="G16" s="236"/>
      <c r="H16" s="236">
        <v>41198.281089255397</v>
      </c>
      <c r="I16" s="236">
        <v>501773.93634349527</v>
      </c>
      <c r="J16" s="236"/>
      <c r="K16" s="236"/>
      <c r="L16" s="236">
        <v>525542.17543345026</v>
      </c>
      <c r="M16" s="236"/>
      <c r="N16" s="236"/>
      <c r="O16" s="236"/>
      <c r="P16" s="236"/>
      <c r="Q16" s="236">
        <v>240323.30635398987</v>
      </c>
      <c r="R16" s="236">
        <v>575719.56906779984</v>
      </c>
      <c r="S16" s="236"/>
      <c r="T16" s="236"/>
      <c r="U16" s="236"/>
      <c r="V16" s="236">
        <v>919038.57814492821</v>
      </c>
      <c r="W16" s="236">
        <v>0</v>
      </c>
      <c r="X16" s="236">
        <v>70068.768837187454</v>
      </c>
      <c r="Y16" s="236"/>
      <c r="Z16" s="236"/>
      <c r="AA16" s="236"/>
      <c r="AB16" s="236"/>
      <c r="AC16" s="236"/>
      <c r="AD16" s="236">
        <v>142260.83369974422</v>
      </c>
      <c r="AE16" s="236">
        <v>0</v>
      </c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>
        <v>3346039.880774782</v>
      </c>
    </row>
    <row r="17" spans="1:44" x14ac:dyDescent="0.25">
      <c r="A17" s="78" t="s">
        <v>118</v>
      </c>
      <c r="B17" s="236"/>
      <c r="C17" s="236"/>
      <c r="D17" s="236">
        <v>733771.78685234336</v>
      </c>
      <c r="E17" s="236"/>
      <c r="F17" s="236"/>
      <c r="G17" s="236"/>
      <c r="H17" s="236"/>
      <c r="I17" s="236"/>
      <c r="J17" s="236"/>
      <c r="K17" s="236"/>
      <c r="L17" s="236"/>
      <c r="M17" s="236">
        <v>2353486.4270315636</v>
      </c>
      <c r="N17" s="236">
        <v>1218349</v>
      </c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>
        <v>531447.40014921222</v>
      </c>
      <c r="AG17" s="236">
        <v>9116606.1123636421</v>
      </c>
      <c r="AH17" s="236"/>
      <c r="AI17" s="236"/>
      <c r="AJ17" s="236"/>
      <c r="AK17" s="236"/>
      <c r="AL17" s="236">
        <v>505139.27739705599</v>
      </c>
      <c r="AM17" s="236"/>
      <c r="AN17" s="236"/>
      <c r="AO17" s="236">
        <v>2800000</v>
      </c>
      <c r="AP17" s="236">
        <v>700000</v>
      </c>
      <c r="AQ17" s="236"/>
      <c r="AR17" s="236">
        <v>17958800.003793821</v>
      </c>
    </row>
    <row r="18" spans="1:44" x14ac:dyDescent="0.25">
      <c r="A18" s="79">
        <v>2019</v>
      </c>
      <c r="B18" s="236"/>
      <c r="C18" s="236"/>
      <c r="D18" s="236">
        <v>0</v>
      </c>
      <c r="E18" s="236"/>
      <c r="F18" s="236"/>
      <c r="G18" s="236"/>
      <c r="H18" s="236"/>
      <c r="I18" s="236"/>
      <c r="J18" s="236"/>
      <c r="K18" s="236"/>
      <c r="L18" s="236"/>
      <c r="M18" s="236">
        <v>1893765.2125355615</v>
      </c>
      <c r="N18" s="236">
        <v>982731</v>
      </c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>
        <v>209782.38739500003</v>
      </c>
      <c r="AG18" s="236">
        <v>3010238.4923246857</v>
      </c>
      <c r="AH18" s="236"/>
      <c r="AI18" s="236"/>
      <c r="AJ18" s="236"/>
      <c r="AK18" s="236"/>
      <c r="AL18" s="236">
        <v>112887.06079513082</v>
      </c>
      <c r="AM18" s="236"/>
      <c r="AN18" s="236"/>
      <c r="AO18" s="236">
        <v>0</v>
      </c>
      <c r="AP18" s="236">
        <v>0</v>
      </c>
      <c r="AQ18" s="236"/>
      <c r="AR18" s="236">
        <v>6209404.1530503789</v>
      </c>
    </row>
    <row r="19" spans="1:44" x14ac:dyDescent="0.25">
      <c r="A19" s="79">
        <v>2030</v>
      </c>
      <c r="B19" s="236"/>
      <c r="C19" s="236"/>
      <c r="D19" s="236">
        <v>363994.97174274386</v>
      </c>
      <c r="E19" s="236"/>
      <c r="F19" s="236"/>
      <c r="G19" s="236"/>
      <c r="H19" s="236"/>
      <c r="I19" s="236"/>
      <c r="J19" s="236"/>
      <c r="K19" s="236"/>
      <c r="L19" s="236"/>
      <c r="M19" s="236">
        <v>279937.20820781856</v>
      </c>
      <c r="N19" s="236">
        <v>232809.00000000006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>
        <v>177910.66423582719</v>
      </c>
      <c r="AG19" s="236">
        <v>2887341.7522961246</v>
      </c>
      <c r="AH19" s="236"/>
      <c r="AI19" s="236"/>
      <c r="AJ19" s="236"/>
      <c r="AK19" s="236"/>
      <c r="AL19" s="236">
        <v>207129.81518974475</v>
      </c>
      <c r="AM19" s="236"/>
      <c r="AN19" s="236"/>
      <c r="AO19" s="236">
        <v>1343999.9999999998</v>
      </c>
      <c r="AP19" s="236">
        <v>335999.99999999994</v>
      </c>
      <c r="AQ19" s="236"/>
      <c r="AR19" s="236">
        <v>5829123.4116722587</v>
      </c>
    </row>
    <row r="20" spans="1:44" x14ac:dyDescent="0.25">
      <c r="A20" s="79">
        <v>2050</v>
      </c>
      <c r="B20" s="236"/>
      <c r="C20" s="236"/>
      <c r="D20" s="236">
        <v>369776.8151095995</v>
      </c>
      <c r="E20" s="236"/>
      <c r="F20" s="236"/>
      <c r="G20" s="236"/>
      <c r="H20" s="236"/>
      <c r="I20" s="236"/>
      <c r="J20" s="236"/>
      <c r="K20" s="236"/>
      <c r="L20" s="236"/>
      <c r="M20" s="236">
        <v>179784.00628818327</v>
      </c>
      <c r="N20" s="236">
        <v>2808.9999999999418</v>
      </c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>
        <v>143754.34851838503</v>
      </c>
      <c r="AG20" s="236">
        <v>3219025.8677428318</v>
      </c>
      <c r="AH20" s="236"/>
      <c r="AI20" s="236"/>
      <c r="AJ20" s="236"/>
      <c r="AK20" s="236"/>
      <c r="AL20" s="236">
        <v>185122.40141218036</v>
      </c>
      <c r="AM20" s="236"/>
      <c r="AN20" s="236"/>
      <c r="AO20" s="236">
        <v>1456000.0000000002</v>
      </c>
      <c r="AP20" s="236">
        <v>364000.00000000006</v>
      </c>
      <c r="AQ20" s="236"/>
      <c r="AR20" s="236">
        <v>5920272.4390711803</v>
      </c>
    </row>
    <row r="21" spans="1:44" x14ac:dyDescent="0.25">
      <c r="A21" s="78" t="s">
        <v>162</v>
      </c>
      <c r="B21" s="236"/>
      <c r="C21" s="236"/>
      <c r="D21" s="236">
        <v>0</v>
      </c>
      <c r="E21" s="236"/>
      <c r="F21" s="236"/>
      <c r="G21" s="236"/>
      <c r="H21" s="236"/>
      <c r="I21" s="236"/>
      <c r="J21" s="236"/>
      <c r="K21" s="236"/>
      <c r="L21" s="236"/>
      <c r="M21" s="236">
        <v>0</v>
      </c>
      <c r="N21" s="236">
        <v>0</v>
      </c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>
        <v>0</v>
      </c>
      <c r="AG21" s="236"/>
      <c r="AH21" s="236"/>
      <c r="AI21" s="236"/>
      <c r="AJ21" s="236"/>
      <c r="AK21" s="236"/>
      <c r="AL21" s="236">
        <v>104203.4407339669</v>
      </c>
      <c r="AM21" s="236"/>
      <c r="AN21" s="236"/>
      <c r="AO21" s="236"/>
      <c r="AP21" s="236"/>
      <c r="AQ21" s="236">
        <v>2584623.6218694132</v>
      </c>
      <c r="AR21" s="236">
        <v>2688827.0626033801</v>
      </c>
    </row>
    <row r="22" spans="1:44" x14ac:dyDescent="0.25">
      <c r="A22" s="79">
        <v>2019</v>
      </c>
      <c r="B22" s="236"/>
      <c r="C22" s="236"/>
      <c r="D22" s="236">
        <v>0</v>
      </c>
      <c r="E22" s="236"/>
      <c r="F22" s="236"/>
      <c r="G22" s="236"/>
      <c r="H22" s="236"/>
      <c r="I22" s="236"/>
      <c r="J22" s="236"/>
      <c r="K22" s="236"/>
      <c r="L22" s="236"/>
      <c r="M22" s="236">
        <v>0</v>
      </c>
      <c r="N22" s="236">
        <v>0</v>
      </c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>
        <v>0</v>
      </c>
      <c r="AG22" s="236"/>
      <c r="AH22" s="236"/>
      <c r="AI22" s="236"/>
      <c r="AJ22" s="236"/>
      <c r="AK22" s="236"/>
      <c r="AL22" s="236">
        <v>104203.4407339669</v>
      </c>
      <c r="AM22" s="236"/>
      <c r="AN22" s="236"/>
      <c r="AO22" s="236"/>
      <c r="AP22" s="236"/>
      <c r="AQ22" s="236">
        <v>827693.20492220437</v>
      </c>
      <c r="AR22" s="236">
        <v>931896.64565617125</v>
      </c>
    </row>
    <row r="23" spans="1:44" x14ac:dyDescent="0.25">
      <c r="A23" s="79">
        <v>2030</v>
      </c>
      <c r="B23" s="236"/>
      <c r="C23" s="236"/>
      <c r="D23" s="236">
        <v>0</v>
      </c>
      <c r="E23" s="236"/>
      <c r="F23" s="236"/>
      <c r="G23" s="236"/>
      <c r="H23" s="236"/>
      <c r="I23" s="236"/>
      <c r="J23" s="236"/>
      <c r="K23" s="236"/>
      <c r="L23" s="236"/>
      <c r="M23" s="236">
        <v>0</v>
      </c>
      <c r="N23" s="236">
        <v>0</v>
      </c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>
        <v>0</v>
      </c>
      <c r="AG23" s="236"/>
      <c r="AH23" s="236"/>
      <c r="AI23" s="236"/>
      <c r="AJ23" s="236"/>
      <c r="AK23" s="236"/>
      <c r="AL23" s="236">
        <v>0</v>
      </c>
      <c r="AM23" s="236"/>
      <c r="AN23" s="236"/>
      <c r="AO23" s="236"/>
      <c r="AP23" s="236"/>
      <c r="AQ23" s="236">
        <v>796263.82624095271</v>
      </c>
      <c r="AR23" s="236">
        <v>796263.82624095271</v>
      </c>
    </row>
    <row r="24" spans="1:44" x14ac:dyDescent="0.25">
      <c r="A24" s="79">
        <v>2050</v>
      </c>
      <c r="B24" s="236"/>
      <c r="C24" s="236"/>
      <c r="D24" s="236">
        <v>0</v>
      </c>
      <c r="E24" s="236"/>
      <c r="F24" s="236"/>
      <c r="G24" s="236"/>
      <c r="H24" s="236"/>
      <c r="I24" s="236"/>
      <c r="J24" s="236"/>
      <c r="K24" s="236"/>
      <c r="L24" s="236"/>
      <c r="M24" s="236">
        <v>0</v>
      </c>
      <c r="N24" s="236">
        <v>0</v>
      </c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>
        <v>0</v>
      </c>
      <c r="AG24" s="236"/>
      <c r="AH24" s="236"/>
      <c r="AI24" s="236"/>
      <c r="AJ24" s="236"/>
      <c r="AK24" s="236"/>
      <c r="AL24" s="236">
        <v>0</v>
      </c>
      <c r="AM24" s="236"/>
      <c r="AN24" s="236"/>
      <c r="AO24" s="236"/>
      <c r="AP24" s="236"/>
      <c r="AQ24" s="236">
        <v>960666.59070625633</v>
      </c>
      <c r="AR24" s="236">
        <v>960666.59070625633</v>
      </c>
    </row>
    <row r="25" spans="1:44" x14ac:dyDescent="0.25">
      <c r="A25" s="78" t="s">
        <v>112</v>
      </c>
      <c r="B25" s="236"/>
      <c r="C25" s="236"/>
      <c r="D25" s="236"/>
      <c r="E25" s="236">
        <v>1228173.47300436</v>
      </c>
      <c r="F25" s="236"/>
      <c r="G25" s="236">
        <v>7636.0950271596812</v>
      </c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>
        <v>14537118.095262064</v>
      </c>
      <c r="T25" s="236"/>
      <c r="U25" s="236"/>
      <c r="V25" s="236"/>
      <c r="W25" s="236"/>
      <c r="X25" s="236"/>
      <c r="Y25" s="236"/>
      <c r="Z25" s="236"/>
      <c r="AA25" s="236"/>
      <c r="AB25" s="236"/>
      <c r="AC25" s="236">
        <v>20709262.841069326</v>
      </c>
      <c r="AD25" s="236"/>
      <c r="AE25" s="236"/>
      <c r="AF25" s="236"/>
      <c r="AG25" s="236"/>
      <c r="AH25" s="236"/>
      <c r="AI25" s="236"/>
      <c r="AJ25" s="236"/>
      <c r="AK25" s="236"/>
      <c r="AL25" s="236"/>
      <c r="AM25" s="236">
        <v>62514220.38323082</v>
      </c>
      <c r="AN25" s="236">
        <v>2421747.2592341113</v>
      </c>
      <c r="AO25" s="236"/>
      <c r="AP25" s="236"/>
      <c r="AQ25" s="236"/>
      <c r="AR25" s="236">
        <v>101418158.14682783</v>
      </c>
    </row>
    <row r="26" spans="1:44" x14ac:dyDescent="0.25">
      <c r="A26" s="79">
        <v>2019</v>
      </c>
      <c r="B26" s="236"/>
      <c r="C26" s="236"/>
      <c r="D26" s="236"/>
      <c r="E26" s="236">
        <v>823764.99285714305</v>
      </c>
      <c r="F26" s="236"/>
      <c r="G26" s="236">
        <v>4441.5</v>
      </c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>
        <v>9696490.333333334</v>
      </c>
      <c r="T26" s="236"/>
      <c r="U26" s="236"/>
      <c r="V26" s="236"/>
      <c r="W26" s="236"/>
      <c r="X26" s="236"/>
      <c r="Y26" s="236"/>
      <c r="Z26" s="236"/>
      <c r="AA26" s="236"/>
      <c r="AB26" s="236"/>
      <c r="AC26" s="236">
        <v>14742130.666666664</v>
      </c>
      <c r="AD26" s="236"/>
      <c r="AE26" s="236"/>
      <c r="AF26" s="236"/>
      <c r="AG26" s="236"/>
      <c r="AH26" s="236"/>
      <c r="AI26" s="236"/>
      <c r="AJ26" s="236"/>
      <c r="AK26" s="236"/>
      <c r="AL26" s="236"/>
      <c r="AM26" s="236">
        <v>8803491.7355084848</v>
      </c>
      <c r="AN26" s="236">
        <v>944815.08868008247</v>
      </c>
      <c r="AO26" s="236"/>
      <c r="AP26" s="236"/>
      <c r="AQ26" s="236"/>
      <c r="AR26" s="236">
        <v>35015134.317045711</v>
      </c>
    </row>
    <row r="27" spans="1:44" x14ac:dyDescent="0.25">
      <c r="A27" s="79">
        <v>2030</v>
      </c>
      <c r="B27" s="236"/>
      <c r="C27" s="236"/>
      <c r="D27" s="236"/>
      <c r="E27" s="236">
        <v>284967.83783340082</v>
      </c>
      <c r="F27" s="236"/>
      <c r="G27" s="236">
        <v>2260.7320151745844</v>
      </c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>
        <v>3476571.4710004977</v>
      </c>
      <c r="T27" s="236"/>
      <c r="U27" s="236"/>
      <c r="V27" s="236"/>
      <c r="W27" s="236"/>
      <c r="X27" s="236"/>
      <c r="Y27" s="236"/>
      <c r="Z27" s="236"/>
      <c r="AA27" s="236"/>
      <c r="AB27" s="236"/>
      <c r="AC27" s="236">
        <v>4314783.2534809783</v>
      </c>
      <c r="AD27" s="236"/>
      <c r="AE27" s="236"/>
      <c r="AF27" s="236"/>
      <c r="AG27" s="236"/>
      <c r="AH27" s="236"/>
      <c r="AI27" s="236"/>
      <c r="AJ27" s="236"/>
      <c r="AK27" s="236"/>
      <c r="AL27" s="236"/>
      <c r="AM27" s="236">
        <v>24545225.299750693</v>
      </c>
      <c r="AN27" s="236">
        <v>845032.45893953415</v>
      </c>
      <c r="AO27" s="236"/>
      <c r="AP27" s="236"/>
      <c r="AQ27" s="236"/>
      <c r="AR27" s="236">
        <v>33468841.05302028</v>
      </c>
    </row>
    <row r="28" spans="1:44" x14ac:dyDescent="0.25">
      <c r="A28" s="79">
        <v>2050</v>
      </c>
      <c r="B28" s="236"/>
      <c r="C28" s="236"/>
      <c r="D28" s="236"/>
      <c r="E28" s="236">
        <v>119440.64231381603</v>
      </c>
      <c r="F28" s="236"/>
      <c r="G28" s="236">
        <v>933.86301198509727</v>
      </c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>
        <v>1364056.2909282311</v>
      </c>
      <c r="T28" s="236"/>
      <c r="U28" s="236"/>
      <c r="V28" s="236"/>
      <c r="W28" s="236"/>
      <c r="X28" s="236"/>
      <c r="Y28" s="236"/>
      <c r="Z28" s="236"/>
      <c r="AA28" s="236"/>
      <c r="AB28" s="236"/>
      <c r="AC28" s="236">
        <v>1652348.9209216826</v>
      </c>
      <c r="AD28" s="236"/>
      <c r="AE28" s="236"/>
      <c r="AF28" s="236"/>
      <c r="AG28" s="236"/>
      <c r="AH28" s="236"/>
      <c r="AI28" s="236"/>
      <c r="AJ28" s="236"/>
      <c r="AK28" s="236"/>
      <c r="AL28" s="236"/>
      <c r="AM28" s="236">
        <v>29165503.347971641</v>
      </c>
      <c r="AN28" s="236">
        <v>631899.71161449468</v>
      </c>
      <c r="AO28" s="236"/>
      <c r="AP28" s="236"/>
      <c r="AQ28" s="236"/>
      <c r="AR28" s="236">
        <v>32934182.776761848</v>
      </c>
    </row>
    <row r="29" spans="1:44" x14ac:dyDescent="0.25">
      <c r="A29" s="78" t="s">
        <v>207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>
        <v>6590591.3179407744</v>
      </c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>
        <v>6590591.3179407744</v>
      </c>
    </row>
    <row r="30" spans="1:44" x14ac:dyDescent="0.25">
      <c r="A30" s="79">
        <v>2019</v>
      </c>
      <c r="B30" s="236"/>
      <c r="C30" s="236"/>
      <c r="D30" s="236"/>
      <c r="E30" s="236"/>
      <c r="F30" s="236"/>
      <c r="G30" s="236"/>
      <c r="H30" s="236"/>
      <c r="I30" s="236"/>
      <c r="J30" s="236"/>
      <c r="K30" s="236">
        <v>0</v>
      </c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>
        <v>0</v>
      </c>
    </row>
    <row r="31" spans="1:44" x14ac:dyDescent="0.25">
      <c r="A31" s="79">
        <v>2030</v>
      </c>
      <c r="B31" s="236"/>
      <c r="C31" s="236"/>
      <c r="D31" s="236"/>
      <c r="E31" s="236"/>
      <c r="F31" s="236"/>
      <c r="G31" s="236"/>
      <c r="H31" s="236"/>
      <c r="I31" s="236"/>
      <c r="J31" s="236"/>
      <c r="K31" s="236">
        <v>2584545.614878735</v>
      </c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>
        <v>2584545.614878735</v>
      </c>
    </row>
    <row r="32" spans="1:44" x14ac:dyDescent="0.25">
      <c r="A32" s="79">
        <v>2050</v>
      </c>
      <c r="B32" s="236"/>
      <c r="C32" s="236"/>
      <c r="D32" s="236"/>
      <c r="E32" s="236"/>
      <c r="F32" s="236"/>
      <c r="G32" s="236"/>
      <c r="H32" s="236"/>
      <c r="I32" s="236"/>
      <c r="J32" s="236"/>
      <c r="K32" s="236">
        <v>4006045.7030620393</v>
      </c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>
        <v>4006045.7030620393</v>
      </c>
    </row>
    <row r="33" spans="1:44" x14ac:dyDescent="0.25">
      <c r="A33" s="78" t="s">
        <v>235</v>
      </c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>
        <v>1904195.9941594463</v>
      </c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>
        <v>1904195.9941594463</v>
      </c>
    </row>
    <row r="34" spans="1:44" x14ac:dyDescent="0.25">
      <c r="A34" s="79">
        <v>2019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>
        <v>678407.81727843033</v>
      </c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>
        <v>678407.81727843033</v>
      </c>
    </row>
    <row r="35" spans="1:44" x14ac:dyDescent="0.25">
      <c r="A35" s="79">
        <v>2030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>
        <v>647280.67246795236</v>
      </c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>
        <v>647280.67246795236</v>
      </c>
    </row>
    <row r="36" spans="1:44" x14ac:dyDescent="0.25">
      <c r="A36" s="79">
        <v>2050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>
        <v>578507.50441306364</v>
      </c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>
        <v>578507.50441306364</v>
      </c>
    </row>
    <row r="37" spans="1:44" x14ac:dyDescent="0.25">
      <c r="A37" s="78" t="s">
        <v>305</v>
      </c>
      <c r="B37" s="236"/>
      <c r="C37" s="236"/>
      <c r="D37" s="236"/>
      <c r="E37" s="236"/>
      <c r="F37" s="236"/>
      <c r="G37" s="236"/>
      <c r="H37" s="236"/>
      <c r="I37" s="236"/>
      <c r="J37" s="236"/>
      <c r="K37" s="236"/>
      <c r="L37" s="236"/>
      <c r="M37" s="236">
        <v>5000000</v>
      </c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>
        <v>5000000</v>
      </c>
    </row>
    <row r="38" spans="1:44" x14ac:dyDescent="0.25">
      <c r="A38" s="79">
        <v>2019</v>
      </c>
      <c r="B38" s="236"/>
      <c r="C38" s="236"/>
      <c r="D38" s="236"/>
      <c r="E38" s="236"/>
      <c r="F38" s="236"/>
      <c r="G38" s="236"/>
      <c r="H38" s="236"/>
      <c r="I38" s="236"/>
      <c r="J38" s="236"/>
      <c r="K38" s="236"/>
      <c r="L38" s="236"/>
      <c r="M38" s="236">
        <v>0</v>
      </c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>
        <v>0</v>
      </c>
    </row>
    <row r="39" spans="1:44" x14ac:dyDescent="0.25">
      <c r="A39" s="79">
        <v>2030</v>
      </c>
      <c r="B39" s="236"/>
      <c r="C39" s="236"/>
      <c r="D39" s="236"/>
      <c r="E39" s="236"/>
      <c r="F39" s="236"/>
      <c r="G39" s="236"/>
      <c r="H39" s="236"/>
      <c r="I39" s="236"/>
      <c r="J39" s="236"/>
      <c r="K39" s="236"/>
      <c r="L39" s="236"/>
      <c r="M39" s="236">
        <v>2399999.9999999995</v>
      </c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>
        <v>2399999.9999999995</v>
      </c>
    </row>
    <row r="40" spans="1:44" x14ac:dyDescent="0.25">
      <c r="A40" s="79">
        <v>2050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>
        <v>2600000</v>
      </c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>
        <v>2600000</v>
      </c>
    </row>
    <row r="41" spans="1:44" x14ac:dyDescent="0.25">
      <c r="A41" s="78" t="s">
        <v>60</v>
      </c>
      <c r="B41" s="236">
        <v>182574.19618217932</v>
      </c>
      <c r="C41" s="236">
        <v>467316.0320077588</v>
      </c>
      <c r="D41" s="236">
        <v>1462905.7868523435</v>
      </c>
      <c r="E41" s="236">
        <v>7083028.420276748</v>
      </c>
      <c r="F41" s="236">
        <v>281468.55244752642</v>
      </c>
      <c r="G41" s="236">
        <v>27264.558180549313</v>
      </c>
      <c r="H41" s="236">
        <v>157152.21479103784</v>
      </c>
      <c r="I41" s="236">
        <v>1445379.0531089196</v>
      </c>
      <c r="J41" s="236">
        <v>428226</v>
      </c>
      <c r="K41" s="236">
        <v>47206740.145880103</v>
      </c>
      <c r="L41" s="236">
        <v>1513844.376677237</v>
      </c>
      <c r="M41" s="236">
        <v>9860492.338007994</v>
      </c>
      <c r="N41" s="236">
        <v>2948427</v>
      </c>
      <c r="O41" s="236">
        <v>8131611.3982071662</v>
      </c>
      <c r="P41" s="236">
        <v>995654</v>
      </c>
      <c r="Q41" s="236">
        <v>692260.49385742994</v>
      </c>
      <c r="R41" s="236">
        <v>21416953.968014803</v>
      </c>
      <c r="S41" s="236">
        <v>41596848.793284312</v>
      </c>
      <c r="T41" s="236">
        <v>4785167.0812693574</v>
      </c>
      <c r="U41" s="236">
        <v>20080179.886379652</v>
      </c>
      <c r="V41" s="236">
        <v>2647325.8446415998</v>
      </c>
      <c r="W41" s="236">
        <v>421337.14221617021</v>
      </c>
      <c r="X41" s="236">
        <v>267279.65146383434</v>
      </c>
      <c r="Y41" s="236">
        <v>1904195.9941594463</v>
      </c>
      <c r="Z41" s="236">
        <v>11408292.661048282</v>
      </c>
      <c r="AA41" s="236">
        <v>146868.41329115626</v>
      </c>
      <c r="AB41" s="236">
        <v>15017210.496861221</v>
      </c>
      <c r="AC41" s="236">
        <v>51439622.223140739</v>
      </c>
      <c r="AD41" s="236">
        <v>542658.68630536064</v>
      </c>
      <c r="AE41" s="236">
        <v>218413.73916352939</v>
      </c>
      <c r="AF41" s="236">
        <v>531447.40014921222</v>
      </c>
      <c r="AG41" s="236">
        <v>9116606.1123636421</v>
      </c>
      <c r="AH41" s="236">
        <v>2304144.9406262441</v>
      </c>
      <c r="AI41" s="236">
        <v>1101758.32351872</v>
      </c>
      <c r="AJ41" s="236">
        <v>2709014.740563605</v>
      </c>
      <c r="AK41" s="236">
        <v>829533.07706806227</v>
      </c>
      <c r="AL41" s="236">
        <v>609342.71813102288</v>
      </c>
      <c r="AM41" s="236">
        <v>62514220.38323082</v>
      </c>
      <c r="AN41" s="236">
        <v>2421747.2592341113</v>
      </c>
      <c r="AO41" s="236">
        <v>2800000</v>
      </c>
      <c r="AP41" s="236">
        <v>700000</v>
      </c>
      <c r="AQ41" s="236">
        <v>2584623.6218694132</v>
      </c>
      <c r="AR41" s="236">
        <v>342999137.72447133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P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7.7109375" bestFit="1" customWidth="1"/>
    <col min="4" max="4" width="10.85546875" bestFit="1" customWidth="1"/>
    <col min="5" max="5" width="5.5703125" bestFit="1" customWidth="1"/>
    <col min="6" max="6" width="13.140625" bestFit="1" customWidth="1"/>
    <col min="7" max="7" width="6.7109375" bestFit="1" customWidth="1"/>
    <col min="8" max="8" width="13.28515625" bestFit="1" customWidth="1"/>
    <col min="9" max="10" width="6.7109375" bestFit="1" customWidth="1"/>
    <col min="11" max="11" width="8.42578125" bestFit="1" customWidth="1"/>
    <col min="12" max="12" width="12.57031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6" x14ac:dyDescent="0.25">
      <c r="A2" s="77" t="s">
        <v>273</v>
      </c>
      <c r="B2" s="78">
        <v>1</v>
      </c>
    </row>
    <row r="4" spans="1:16" x14ac:dyDescent="0.25">
      <c r="A4" s="77" t="s">
        <v>300</v>
      </c>
      <c r="B4" s="77" t="s">
        <v>61</v>
      </c>
    </row>
    <row r="5" spans="1:16" x14ac:dyDescent="0.25">
      <c r="A5" s="77" t="s">
        <v>59</v>
      </c>
      <c r="B5" s="168" t="s">
        <v>100</v>
      </c>
      <c r="C5" s="168" t="s">
        <v>50</v>
      </c>
      <c r="D5" s="168" t="s">
        <v>6</v>
      </c>
      <c r="E5" s="168" t="s">
        <v>65</v>
      </c>
      <c r="F5" s="168" t="s">
        <v>101</v>
      </c>
      <c r="G5" s="168" t="s">
        <v>47</v>
      </c>
      <c r="H5" s="168" t="s">
        <v>113</v>
      </c>
      <c r="I5" s="168" t="s">
        <v>52</v>
      </c>
      <c r="J5" s="168" t="s">
        <v>51</v>
      </c>
      <c r="K5" s="168" t="s">
        <v>156</v>
      </c>
      <c r="L5" s="168" t="s">
        <v>202</v>
      </c>
      <c r="M5" s="168" t="s">
        <v>53</v>
      </c>
      <c r="N5" s="168" t="s">
        <v>157</v>
      </c>
      <c r="O5" s="168" t="s">
        <v>236</v>
      </c>
      <c r="P5" s="168" t="s">
        <v>60</v>
      </c>
    </row>
    <row r="6" spans="1:16" x14ac:dyDescent="0.25">
      <c r="A6" s="78">
        <v>2019</v>
      </c>
      <c r="B6" s="76">
        <v>370459.67448149773</v>
      </c>
      <c r="C6" s="76">
        <v>0</v>
      </c>
      <c r="D6" s="76">
        <v>203649.62100550608</v>
      </c>
      <c r="E6" s="76">
        <v>0</v>
      </c>
      <c r="F6" s="76">
        <v>282332.03034110228</v>
      </c>
      <c r="G6" s="76">
        <v>0</v>
      </c>
      <c r="H6" s="76">
        <v>944815.08868008247</v>
      </c>
      <c r="I6" s="76">
        <v>0</v>
      </c>
      <c r="J6" s="76">
        <v>0</v>
      </c>
      <c r="K6" s="76">
        <v>142742</v>
      </c>
      <c r="L6" s="76">
        <v>0</v>
      </c>
      <c r="M6" s="76">
        <v>420629.98984142789</v>
      </c>
      <c r="N6" s="76">
        <v>5421074.2654714445</v>
      </c>
      <c r="O6" s="76">
        <v>0</v>
      </c>
      <c r="P6" s="76">
        <v>7785702.6698210612</v>
      </c>
    </row>
    <row r="7" spans="1:16" x14ac:dyDescent="0.25">
      <c r="A7" s="78">
        <v>2030</v>
      </c>
      <c r="B7" s="76">
        <v>0</v>
      </c>
      <c r="C7" s="76">
        <v>0</v>
      </c>
      <c r="D7" s="76">
        <v>0</v>
      </c>
      <c r="E7" s="76">
        <v>0</v>
      </c>
      <c r="F7" s="76">
        <v>0</v>
      </c>
      <c r="G7" s="76">
        <v>0</v>
      </c>
      <c r="H7" s="76">
        <v>845032.45893953415</v>
      </c>
      <c r="I7" s="76">
        <v>0</v>
      </c>
      <c r="J7" s="76">
        <v>0</v>
      </c>
      <c r="K7" s="76">
        <v>142742</v>
      </c>
      <c r="L7" s="76">
        <v>22517.780101574506</v>
      </c>
      <c r="M7" s="76">
        <v>442063.3551196605</v>
      </c>
      <c r="N7" s="76">
        <v>2710537.1327357218</v>
      </c>
      <c r="O7" s="76">
        <v>0</v>
      </c>
      <c r="P7" s="76">
        <v>4162892.7268964909</v>
      </c>
    </row>
    <row r="8" spans="1:16" x14ac:dyDescent="0.25">
      <c r="A8" s="78">
        <v>2050</v>
      </c>
      <c r="B8" s="76">
        <v>0</v>
      </c>
      <c r="C8" s="76">
        <v>204183.52508117072</v>
      </c>
      <c r="D8" s="76">
        <v>0</v>
      </c>
      <c r="E8" s="76">
        <v>2.3283064365386963E-10</v>
      </c>
      <c r="F8" s="76">
        <v>0</v>
      </c>
      <c r="G8" s="76">
        <v>86323.466448020423</v>
      </c>
      <c r="H8" s="76">
        <v>631899.71161449468</v>
      </c>
      <c r="I8" s="76">
        <v>87324.875890037511</v>
      </c>
      <c r="J8" s="76">
        <v>15643.966740612406</v>
      </c>
      <c r="K8" s="76">
        <v>142742</v>
      </c>
      <c r="L8" s="76">
        <v>13301.200339069677</v>
      </c>
      <c r="M8" s="76">
        <v>466953.25695209636</v>
      </c>
      <c r="N8" s="76">
        <v>0</v>
      </c>
      <c r="O8" s="76">
        <v>5323.8485308689997</v>
      </c>
      <c r="P8" s="76">
        <v>1653695.8515963708</v>
      </c>
    </row>
    <row r="9" spans="1:16" x14ac:dyDescent="0.25">
      <c r="A9" s="78" t="s">
        <v>60</v>
      </c>
      <c r="B9" s="76">
        <v>370459.67448149773</v>
      </c>
      <c r="C9" s="76">
        <v>204183.52508117072</v>
      </c>
      <c r="D9" s="76">
        <v>203649.62100550608</v>
      </c>
      <c r="E9" s="76">
        <v>2.3283064365386963E-10</v>
      </c>
      <c r="F9" s="76">
        <v>282332.03034110228</v>
      </c>
      <c r="G9" s="76">
        <v>86323.466448020423</v>
      </c>
      <c r="H9" s="76">
        <v>2421747.2592341113</v>
      </c>
      <c r="I9" s="76">
        <v>87324.875890037511</v>
      </c>
      <c r="J9" s="76">
        <v>15643.966740612406</v>
      </c>
      <c r="K9" s="76">
        <v>428226</v>
      </c>
      <c r="L9" s="76">
        <v>35818.980440644184</v>
      </c>
      <c r="M9" s="76">
        <v>1329646.6019131846</v>
      </c>
      <c r="N9" s="76">
        <v>8131611.3982071662</v>
      </c>
      <c r="O9" s="76">
        <v>5323.8485308689997</v>
      </c>
      <c r="P9" s="76">
        <v>13602291.248313922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295</v>
      </c>
      <c r="B2" s="78">
        <v>1</v>
      </c>
    </row>
    <row r="4" spans="1:48" x14ac:dyDescent="0.25">
      <c r="A4" s="77" t="s">
        <v>250</v>
      </c>
      <c r="B4" s="77" t="s">
        <v>61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59</v>
      </c>
      <c r="B5" s="168" t="s">
        <v>15</v>
      </c>
      <c r="C5" s="168" t="s">
        <v>48</v>
      </c>
      <c r="D5" s="168" t="s">
        <v>108</v>
      </c>
      <c r="E5" s="168" t="s">
        <v>99</v>
      </c>
      <c r="F5" s="168" t="s">
        <v>94</v>
      </c>
      <c r="G5" s="168" t="s">
        <v>111</v>
      </c>
      <c r="H5" s="168" t="s">
        <v>50</v>
      </c>
      <c r="I5" s="168" t="s">
        <v>6</v>
      </c>
      <c r="J5" s="168" t="s">
        <v>101</v>
      </c>
      <c r="K5" s="168" t="s">
        <v>12</v>
      </c>
      <c r="L5" s="168" t="s">
        <v>47</v>
      </c>
      <c r="M5" s="168" t="s">
        <v>106</v>
      </c>
      <c r="N5" s="168" t="s">
        <v>52</v>
      </c>
      <c r="O5" s="168" t="s">
        <v>114</v>
      </c>
      <c r="P5" s="168" t="s">
        <v>104</v>
      </c>
      <c r="Q5" s="168" t="s">
        <v>14</v>
      </c>
      <c r="R5" s="168" t="s">
        <v>115</v>
      </c>
      <c r="S5" s="168" t="s">
        <v>51</v>
      </c>
      <c r="T5" s="168" t="s">
        <v>119</v>
      </c>
      <c r="U5" s="168" t="s">
        <v>105</v>
      </c>
      <c r="V5" s="168" t="s">
        <v>13</v>
      </c>
      <c r="W5" s="168" t="s">
        <v>97</v>
      </c>
      <c r="X5" s="168" t="s">
        <v>138</v>
      </c>
      <c r="Y5" s="168" t="s">
        <v>206</v>
      </c>
      <c r="Z5" s="168" t="s">
        <v>55</v>
      </c>
      <c r="AA5" s="168" t="s">
        <v>54</v>
      </c>
      <c r="AB5" s="168" t="s">
        <v>236</v>
      </c>
      <c r="AC5" s="168" t="s">
        <v>60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625406.97967309353</v>
      </c>
      <c r="D7" s="98">
        <v>5761802.8125040904</v>
      </c>
      <c r="E7" s="98">
        <v>467777.39417935623</v>
      </c>
      <c r="F7" s="98">
        <v>144189.02716916322</v>
      </c>
      <c r="G7" s="98">
        <v>1353770.6425495991</v>
      </c>
      <c r="H7" s="98">
        <v>1412779.4258324602</v>
      </c>
      <c r="I7" s="98">
        <v>266369.62792796968</v>
      </c>
      <c r="J7" s="98">
        <v>725968.40288562409</v>
      </c>
      <c r="K7" s="98">
        <v>1899675.9622489491</v>
      </c>
      <c r="L7" s="98">
        <v>143942.67549478565</v>
      </c>
      <c r="M7" s="98">
        <v>194498.19231552945</v>
      </c>
      <c r="N7" s="98">
        <v>1251221.156351428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389570.8883221494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865619.06279705255</v>
      </c>
      <c r="AA7" s="98">
        <v>1900388.2590808054</v>
      </c>
      <c r="AB7" s="98">
        <v>29062.735496575362</v>
      </c>
      <c r="AC7" s="98">
        <v>29299100.432006795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70483.90939290321</v>
      </c>
      <c r="D8" s="98">
        <v>7367511.1906227469</v>
      </c>
      <c r="E8" s="98">
        <v>196062.94115664129</v>
      </c>
      <c r="F8" s="98">
        <v>147035.58505348547</v>
      </c>
      <c r="G8" s="98">
        <v>1166060.5221775137</v>
      </c>
      <c r="H8" s="98"/>
      <c r="I8" s="98">
        <v>178110.40928567733</v>
      </c>
      <c r="J8" s="98">
        <v>723031.88507187623</v>
      </c>
      <c r="K8" s="98">
        <v>1638449.5478959829</v>
      </c>
      <c r="L8" s="98"/>
      <c r="M8" s="98">
        <v>162247.73049672041</v>
      </c>
      <c r="N8" s="98"/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/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766353.13408428861</v>
      </c>
      <c r="AA8" s="98">
        <v>1683532.6058182179</v>
      </c>
      <c r="AB8" s="98"/>
      <c r="AC8" s="98">
        <v>24464522.724389028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60</v>
      </c>
      <c r="B9" s="98">
        <v>509860.57169242611</v>
      </c>
      <c r="C9" s="98">
        <v>908601.89882174355</v>
      </c>
      <c r="D9" s="98">
        <v>16359843.075368349</v>
      </c>
      <c r="E9" s="98">
        <v>2016058.342478855</v>
      </c>
      <c r="F9" s="98">
        <v>429499.89225154783</v>
      </c>
      <c r="G9" s="98">
        <v>4022389.2003353275</v>
      </c>
      <c r="H9" s="98">
        <v>5530783.1361326268</v>
      </c>
      <c r="I9" s="98">
        <v>444480.03721364704</v>
      </c>
      <c r="J9" s="98">
        <v>1449000.2879575002</v>
      </c>
      <c r="K9" s="98">
        <v>5578999.2610110659</v>
      </c>
      <c r="L9" s="98">
        <v>2118613.0048062047</v>
      </c>
      <c r="M9" s="98">
        <v>408638.05543234618</v>
      </c>
      <c r="N9" s="98">
        <v>2517483.4026189204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2045935.5298230639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2543546.8393664076</v>
      </c>
      <c r="AA9" s="98">
        <v>5589023.0362997996</v>
      </c>
      <c r="AB9" s="98">
        <v>127888.7685425299</v>
      </c>
      <c r="AC9" s="98">
        <v>88388817.177907154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61</v>
      </c>
    </row>
    <row r="4" spans="1:11" x14ac:dyDescent="0.25">
      <c r="A4" s="77" t="s">
        <v>59</v>
      </c>
      <c r="B4" s="168" t="s">
        <v>228</v>
      </c>
      <c r="C4" s="168" t="s">
        <v>156</v>
      </c>
      <c r="D4" s="168" t="s">
        <v>222</v>
      </c>
      <c r="E4" s="168" t="s">
        <v>225</v>
      </c>
      <c r="F4" s="168" t="s">
        <v>224</v>
      </c>
      <c r="G4" s="168" t="s">
        <v>220</v>
      </c>
      <c r="H4" s="168" t="s">
        <v>307</v>
      </c>
      <c r="I4" s="168" t="s">
        <v>229</v>
      </c>
      <c r="J4" s="168" t="s">
        <v>223</v>
      </c>
      <c r="K4" s="168" t="s">
        <v>60</v>
      </c>
    </row>
    <row r="5" spans="1:11" x14ac:dyDescent="0.25">
      <c r="A5" s="78" t="s">
        <v>280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11" x14ac:dyDescent="0.25">
      <c r="A6" s="79">
        <v>2019</v>
      </c>
      <c r="B6" s="234">
        <v>17.543930524502301</v>
      </c>
      <c r="C6" s="234">
        <v>0</v>
      </c>
      <c r="D6" s="234">
        <v>0</v>
      </c>
      <c r="E6" s="234">
        <v>19.573590488557194</v>
      </c>
      <c r="F6" s="234">
        <v>0</v>
      </c>
      <c r="G6" s="234">
        <v>0</v>
      </c>
      <c r="H6" s="234">
        <v>0</v>
      </c>
      <c r="I6" s="234">
        <v>3.951047127829578</v>
      </c>
      <c r="J6" s="234">
        <v>47.489094924341849</v>
      </c>
      <c r="K6" s="234">
        <v>88.557663065230912</v>
      </c>
    </row>
    <row r="7" spans="1:11" x14ac:dyDescent="0.25">
      <c r="A7" s="79">
        <v>2030</v>
      </c>
      <c r="B7" s="234">
        <v>14.892272288632798</v>
      </c>
      <c r="C7" s="234">
        <v>0</v>
      </c>
      <c r="D7" s="234">
        <v>8.1485324711469715</v>
      </c>
      <c r="E7" s="234">
        <v>3.3863602827490196</v>
      </c>
      <c r="F7" s="234">
        <v>0.11923457768560886</v>
      </c>
      <c r="G7" s="234">
        <v>1.0075925070623333</v>
      </c>
      <c r="H7" s="234">
        <v>23.22239999999999</v>
      </c>
      <c r="I7" s="234">
        <v>7.2495435316410655</v>
      </c>
      <c r="J7" s="234">
        <v>45.121442848928446</v>
      </c>
      <c r="K7" s="234">
        <v>103.14737850784624</v>
      </c>
    </row>
    <row r="8" spans="1:11" x14ac:dyDescent="0.25">
      <c r="A8" s="79">
        <v>2050</v>
      </c>
      <c r="B8" s="234">
        <v>10.276021090321604</v>
      </c>
      <c r="C8" s="234">
        <v>0</v>
      </c>
      <c r="D8" s="234">
        <v>0</v>
      </c>
      <c r="E8" s="234">
        <v>1.8582126718683771</v>
      </c>
      <c r="F8" s="234">
        <v>2.4697056400855601E-2</v>
      </c>
      <c r="G8" s="234">
        <v>0.42231957525140529</v>
      </c>
      <c r="H8" s="234">
        <v>25.157599999999995</v>
      </c>
      <c r="I8" s="234">
        <v>6.4792840494263118</v>
      </c>
      <c r="J8" s="234">
        <v>49.300253220247079</v>
      </c>
      <c r="K8" s="234">
        <v>93.518387663515625</v>
      </c>
    </row>
    <row r="9" spans="1:11" x14ac:dyDescent="0.25">
      <c r="A9" s="78" t="s">
        <v>241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</row>
    <row r="10" spans="1:11" x14ac:dyDescent="0.25">
      <c r="A10" s="79">
        <v>2019</v>
      </c>
      <c r="B10" s="234">
        <v>7.483154704207001</v>
      </c>
      <c r="C10" s="234">
        <v>2.1694819870080004</v>
      </c>
      <c r="D10" s="234">
        <v>1.4201719861750002</v>
      </c>
      <c r="E10" s="234">
        <v>0.45076703431999998</v>
      </c>
      <c r="F10" s="234">
        <v>0</v>
      </c>
      <c r="G10" s="234">
        <v>5.0922829580050024</v>
      </c>
      <c r="H10" s="234">
        <v>0</v>
      </c>
      <c r="I10" s="234">
        <v>0</v>
      </c>
      <c r="J10" s="234">
        <v>0</v>
      </c>
      <c r="K10" s="234">
        <v>16.615858669715003</v>
      </c>
    </row>
    <row r="11" spans="1:11" x14ac:dyDescent="0.25">
      <c r="A11" s="79">
        <v>2030</v>
      </c>
      <c r="B11" s="234">
        <v>4.5503946356146914</v>
      </c>
      <c r="C11" s="234">
        <v>2.1694819870080004</v>
      </c>
      <c r="D11" s="234">
        <v>0</v>
      </c>
      <c r="E11" s="234">
        <v>0</v>
      </c>
      <c r="F11" s="234">
        <v>0</v>
      </c>
      <c r="G11" s="234">
        <v>15.723272303760726</v>
      </c>
      <c r="H11" s="234">
        <v>0</v>
      </c>
      <c r="I11" s="234">
        <v>0</v>
      </c>
      <c r="J11" s="234">
        <v>0</v>
      </c>
      <c r="K11" s="234">
        <v>22.443148926383419</v>
      </c>
    </row>
    <row r="12" spans="1:11" x14ac:dyDescent="0.25">
      <c r="A12" s="79">
        <v>2050</v>
      </c>
      <c r="B12" s="234">
        <v>6.0880208355368071</v>
      </c>
      <c r="C12" s="234">
        <v>2.1694819870080004</v>
      </c>
      <c r="D12" s="234">
        <v>0</v>
      </c>
      <c r="E12" s="234">
        <v>0</v>
      </c>
      <c r="F12" s="234">
        <v>0</v>
      </c>
      <c r="G12" s="234">
        <v>18.741037268423653</v>
      </c>
      <c r="H12" s="234">
        <v>0</v>
      </c>
      <c r="I12" s="234">
        <v>0</v>
      </c>
      <c r="J12" s="234">
        <v>0</v>
      </c>
      <c r="K12" s="234">
        <v>26.998540090968461</v>
      </c>
    </row>
    <row r="13" spans="1:11" x14ac:dyDescent="0.25">
      <c r="A13" s="78" t="s">
        <v>281</v>
      </c>
      <c r="B13" s="234">
        <v>42.712223903456703</v>
      </c>
      <c r="C13" s="234">
        <v>0</v>
      </c>
      <c r="D13" s="234">
        <v>8.1485324711469715</v>
      </c>
      <c r="E13" s="234">
        <v>24.818163443174591</v>
      </c>
      <c r="F13" s="234">
        <v>0.14393163408646445</v>
      </c>
      <c r="G13" s="234">
        <v>1.4299120823137386</v>
      </c>
      <c r="H13" s="234">
        <v>48.379999999999981</v>
      </c>
      <c r="I13" s="234">
        <v>17.679874708896953</v>
      </c>
      <c r="J13" s="234">
        <v>141.91079099351737</v>
      </c>
      <c r="K13" s="234">
        <v>285.22342923659278</v>
      </c>
    </row>
    <row r="14" spans="1:11" x14ac:dyDescent="0.25">
      <c r="A14" s="78" t="s">
        <v>242</v>
      </c>
      <c r="B14" s="234">
        <v>18.121570175358499</v>
      </c>
      <c r="C14" s="234">
        <v>6.5084459610240017</v>
      </c>
      <c r="D14" s="234">
        <v>1.4201719861750002</v>
      </c>
      <c r="E14" s="234">
        <v>0.45076703431999998</v>
      </c>
      <c r="F14" s="234">
        <v>0</v>
      </c>
      <c r="G14" s="234">
        <v>39.556592530189384</v>
      </c>
      <c r="H14" s="234">
        <v>0</v>
      </c>
      <c r="I14" s="234">
        <v>0</v>
      </c>
      <c r="J14" s="234">
        <v>0</v>
      </c>
      <c r="K14" s="234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237</v>
      </c>
      <c r="B1" s="77" t="s">
        <v>61</v>
      </c>
    </row>
    <row r="2" spans="1:9" x14ac:dyDescent="0.25">
      <c r="A2" s="77" t="s">
        <v>59</v>
      </c>
      <c r="B2" s="168" t="s">
        <v>228</v>
      </c>
      <c r="C2" s="168" t="s">
        <v>156</v>
      </c>
      <c r="D2" s="168" t="s">
        <v>222</v>
      </c>
      <c r="E2" s="168" t="s">
        <v>225</v>
      </c>
      <c r="F2" s="168" t="s">
        <v>224</v>
      </c>
      <c r="G2" s="168" t="s">
        <v>220</v>
      </c>
      <c r="H2" s="168" t="s">
        <v>223</v>
      </c>
      <c r="I2" s="168" t="s">
        <v>60</v>
      </c>
    </row>
    <row r="3" spans="1:9" x14ac:dyDescent="0.25">
      <c r="A3" s="78">
        <v>2019</v>
      </c>
      <c r="B3" s="235">
        <v>1077304.94</v>
      </c>
      <c r="C3" s="235">
        <v>128467.8</v>
      </c>
      <c r="D3" s="235">
        <v>128726.35999999999</v>
      </c>
      <c r="E3" s="235">
        <v>1675417.9906552273</v>
      </c>
      <c r="F3" s="235">
        <v>0</v>
      </c>
      <c r="G3" s="235">
        <v>704016.11583333346</v>
      </c>
      <c r="H3" s="235">
        <v>1575873.4784311759</v>
      </c>
      <c r="I3" s="235">
        <v>5289806.6849197373</v>
      </c>
    </row>
    <row r="4" spans="1:9" x14ac:dyDescent="0.25">
      <c r="A4" s="78">
        <v>2030</v>
      </c>
      <c r="B4" s="235">
        <v>1194753.6875528663</v>
      </c>
      <c r="C4" s="235">
        <v>128467.8</v>
      </c>
      <c r="D4" s="235">
        <v>848858.76380294724</v>
      </c>
      <c r="E4" s="235">
        <v>282568.85638002929</v>
      </c>
      <c r="F4" s="235">
        <v>19927.784571410946</v>
      </c>
      <c r="G4" s="235">
        <v>2258106.9888264164</v>
      </c>
      <c r="H4" s="235">
        <v>1501864.0339809931</v>
      </c>
      <c r="I4" s="235">
        <v>6234547.9151146635</v>
      </c>
    </row>
    <row r="5" spans="1:9" x14ac:dyDescent="0.25">
      <c r="A5" s="78">
        <v>2050</v>
      </c>
      <c r="B5" s="235">
        <v>1243092.4748212171</v>
      </c>
      <c r="C5" s="235">
        <v>128467.8</v>
      </c>
      <c r="D5" s="235">
        <v>0</v>
      </c>
      <c r="E5" s="235">
        <v>152816.40534495577</v>
      </c>
      <c r="F5" s="235">
        <v>4127.6417383045564</v>
      </c>
      <c r="G5" s="235">
        <v>2587779.5754546914</v>
      </c>
      <c r="H5" s="235">
        <v>1651734.5983896051</v>
      </c>
      <c r="I5" s="235">
        <v>5768018.4957487741</v>
      </c>
    </row>
    <row r="6" spans="1:9" x14ac:dyDescent="0.25">
      <c r="A6" s="78" t="s">
        <v>60</v>
      </c>
      <c r="B6" s="235">
        <v>3515151.1023740834</v>
      </c>
      <c r="C6" s="235">
        <v>385403.4</v>
      </c>
      <c r="D6" s="235">
        <v>977585.12380294723</v>
      </c>
      <c r="E6" s="235">
        <v>2110803.2523802123</v>
      </c>
      <c r="F6" s="235">
        <v>24055.426309715502</v>
      </c>
      <c r="G6" s="235">
        <v>5549902.6801144416</v>
      </c>
      <c r="H6" s="235">
        <v>4729472.1108017741</v>
      </c>
      <c r="I6" s="235">
        <v>17292373.095783174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196</v>
      </c>
      <c r="B1" s="77" t="s">
        <v>61</v>
      </c>
    </row>
    <row r="2" spans="1:10" x14ac:dyDescent="0.25">
      <c r="A2" s="77" t="s">
        <v>59</v>
      </c>
      <c r="B2" s="168" t="s">
        <v>109</v>
      </c>
      <c r="C2" s="168" t="s">
        <v>198</v>
      </c>
      <c r="D2" s="168" t="s">
        <v>191</v>
      </c>
      <c r="E2" s="168" t="s">
        <v>192</v>
      </c>
      <c r="F2" s="168" t="s">
        <v>10</v>
      </c>
      <c r="G2" s="168" t="s">
        <v>259</v>
      </c>
      <c r="H2" s="168" t="s">
        <v>305</v>
      </c>
      <c r="I2" s="168" t="s">
        <v>327</v>
      </c>
      <c r="J2" s="168" t="s">
        <v>60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5981850.4819778297</v>
      </c>
      <c r="C4" s="98">
        <v>-50273.43159900204</v>
      </c>
      <c r="D4" s="98">
        <v>5507316.8818720337</v>
      </c>
      <c r="E4" s="98">
        <v>6111121.1007917309</v>
      </c>
      <c r="F4" s="98">
        <v>-2891570.0535560297</v>
      </c>
      <c r="G4" s="98">
        <v>-471658.98279996391</v>
      </c>
      <c r="H4" s="98">
        <v>-1566399.9999999995</v>
      </c>
      <c r="I4" s="98">
        <v>-656685.03273093957</v>
      </c>
      <c r="J4" s="98">
        <v>11963700.963955659</v>
      </c>
    </row>
    <row r="5" spans="1:10" x14ac:dyDescent="0.25">
      <c r="A5" s="78">
        <v>2050</v>
      </c>
      <c r="B5" s="98">
        <v>66373.300562149088</v>
      </c>
      <c r="C5" s="98">
        <v>-50273.43159900204</v>
      </c>
      <c r="D5" s="98">
        <v>5485230.909845111</v>
      </c>
      <c r="E5" s="98">
        <v>4324318.1292834161</v>
      </c>
      <c r="F5" s="98">
        <v>-5311784.9810161777</v>
      </c>
      <c r="G5" s="98">
        <v>-550526.76458399382</v>
      </c>
      <c r="H5" s="98">
        <v>-1696933.3333333333</v>
      </c>
      <c r="I5" s="98">
        <v>-2133657.2280338705</v>
      </c>
      <c r="J5" s="98">
        <v>132746.60112430062</v>
      </c>
    </row>
    <row r="6" spans="1:10" x14ac:dyDescent="0.25">
      <c r="A6" s="78" t="s">
        <v>60</v>
      </c>
      <c r="B6" s="98">
        <v>19959785.900817551</v>
      </c>
      <c r="C6" s="98">
        <v>-100705.30039800408</v>
      </c>
      <c r="D6" s="98">
        <v>16511809.692453861</v>
      </c>
      <c r="E6" s="98">
        <v>20160905.41980933</v>
      </c>
      <c r="F6" s="98">
        <v>-8765255.0345722064</v>
      </c>
      <c r="G6" s="98">
        <v>-1187392.9582790174</v>
      </c>
      <c r="H6" s="98">
        <v>-3263333.333333333</v>
      </c>
      <c r="I6" s="98">
        <v>-3396242.5848630848</v>
      </c>
      <c r="J6" s="98">
        <v>39919571.801635087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63</v>
      </c>
      <c r="B1" t="s">
        <v>57</v>
      </c>
      <c r="C1" t="s">
        <v>30</v>
      </c>
      <c r="D1" t="s">
        <v>197</v>
      </c>
      <c r="E1" t="s">
        <v>199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109</v>
      </c>
      <c r="E2" s="98" t="s">
        <v>109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67</v>
      </c>
      <c r="E3" t="s">
        <v>191</v>
      </c>
      <c r="G3" s="98" t="s">
        <v>165</v>
      </c>
      <c r="H3" s="98" t="s">
        <v>166</v>
      </c>
      <c r="I3" s="98" t="s">
        <v>167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67</v>
      </c>
      <c r="E4" t="s">
        <v>192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67</v>
      </c>
      <c r="E5" t="s">
        <v>192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67</v>
      </c>
      <c r="E6" t="s">
        <v>192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198</v>
      </c>
      <c r="E7" t="s">
        <v>198</v>
      </c>
      <c r="G7" t="s">
        <v>193</v>
      </c>
      <c r="H7" t="s">
        <v>194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195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326</v>
      </c>
      <c r="E9" s="168" t="s">
        <v>327</v>
      </c>
      <c r="G9" s="168" t="s">
        <v>325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259</v>
      </c>
      <c r="E10" s="168" t="s">
        <v>259</v>
      </c>
      <c r="G10" s="168" t="s">
        <v>259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305</v>
      </c>
      <c r="E11" s="168" t="s">
        <v>305</v>
      </c>
      <c r="G11" s="168" t="s">
        <v>305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11790829.55000443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5069555.7415848225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4170153.498013509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1273957.4753938417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2451027.9496986074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-572934.7753402415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-448761.08423247223</v>
      </c>
      <c r="D19" s="168" t="s">
        <v>326</v>
      </c>
      <c r="E19" s="98" t="str">
        <f t="shared" si="4"/>
        <v>Træprodukter</v>
      </c>
      <c r="G19" s="168" t="s">
        <v>325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-152011.01193885587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11436050.60142591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5069555.7415848225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4170153.498013509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1273957.4753938417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2451027.9496986074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-875970.90126151487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-500503.90688971587</v>
      </c>
      <c r="D29" s="168" t="s">
        <v>326</v>
      </c>
      <c r="E29" s="98" t="str">
        <f t="shared" si="4"/>
        <v>Træprodukter</v>
      </c>
      <c r="G29" s="168" t="s">
        <v>325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-152011.01193885587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326</v>
      </c>
      <c r="E39" s="98" t="str">
        <f t="shared" si="4"/>
        <v>Træprodukter</v>
      </c>
      <c r="G39" s="168" t="s">
        <v>325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1933899.6303375012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449706.1591518941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1230850.861205372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193486.37175846272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372107.92421499151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-167700.76487114117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-131354.52814065255</v>
      </c>
      <c r="D49" s="168" t="s">
        <v>326</v>
      </c>
      <c r="E49" s="98" t="str">
        <f t="shared" si="4"/>
        <v>Træprodukter</v>
      </c>
      <c r="G49" s="168" t="s">
        <v>325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-13196.198956203871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1830054.1254081416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449706.1591518941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1230850.861205372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193486.37175846272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372107.92421499151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-256400.89669750046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-146499.90124365274</v>
      </c>
      <c r="D59" s="168" t="s">
        <v>326</v>
      </c>
      <c r="E59" s="98" t="str">
        <f t="shared" si="4"/>
        <v>Træprodukter</v>
      </c>
      <c r="G59" s="168" t="s">
        <v>325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-13196.198956203871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63</v>
      </c>
      <c r="B1" s="168" t="s">
        <v>78</v>
      </c>
    </row>
    <row r="3" spans="1:15" x14ac:dyDescent="0.25">
      <c r="A3" s="77" t="s">
        <v>124</v>
      </c>
      <c r="B3" s="77" t="s">
        <v>61</v>
      </c>
    </row>
    <row r="4" spans="1:15" x14ac:dyDescent="0.25">
      <c r="A4" s="77" t="s">
        <v>59</v>
      </c>
      <c r="B4" s="168" t="s">
        <v>48</v>
      </c>
      <c r="C4" s="168" t="s">
        <v>111</v>
      </c>
      <c r="D4" s="168" t="s">
        <v>53</v>
      </c>
      <c r="E4" s="168" t="s">
        <v>50</v>
      </c>
      <c r="F4" s="168" t="s">
        <v>6</v>
      </c>
      <c r="G4" s="168" t="s">
        <v>55</v>
      </c>
      <c r="H4" s="168" t="s">
        <v>12</v>
      </c>
      <c r="I4" s="168" t="s">
        <v>47</v>
      </c>
      <c r="J4" s="168" t="s">
        <v>52</v>
      </c>
      <c r="K4" s="168" t="s">
        <v>54</v>
      </c>
      <c r="L4" s="168" t="s">
        <v>93</v>
      </c>
      <c r="M4" s="168" t="s">
        <v>49</v>
      </c>
      <c r="N4" s="168" t="s">
        <v>51</v>
      </c>
      <c r="O4" s="168" t="s">
        <v>60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778874.23813886347</v>
      </c>
      <c r="C6" s="98">
        <v>1353770.6425495991</v>
      </c>
      <c r="D6" s="98">
        <v>39183.881911564473</v>
      </c>
      <c r="E6" s="98">
        <v>17392681.962045848</v>
      </c>
      <c r="F6" s="98">
        <v>770412.78671330516</v>
      </c>
      <c r="G6" s="98">
        <v>865619.06279705255</v>
      </c>
      <c r="H6" s="98">
        <v>2130168.0599849569</v>
      </c>
      <c r="I6" s="98">
        <v>7297841.4871303188</v>
      </c>
      <c r="J6" s="98">
        <v>7698316.9156068498</v>
      </c>
      <c r="K6" s="98">
        <v>1900388.2590808054</v>
      </c>
      <c r="L6" s="98">
        <v>177910.66423582719</v>
      </c>
      <c r="M6" s="98">
        <v>647280.67246795236</v>
      </c>
      <c r="N6" s="98">
        <v>2437607.500451263</v>
      </c>
      <c r="O6" s="98">
        <v>43490056.133114204</v>
      </c>
    </row>
    <row r="7" spans="1:15" x14ac:dyDescent="0.25">
      <c r="A7" s="78">
        <v>2050</v>
      </c>
      <c r="B7" s="98">
        <v>311917.59070596</v>
      </c>
      <c r="C7" s="98">
        <v>1166060.5221775137</v>
      </c>
      <c r="D7" s="98">
        <v>34820.679391398953</v>
      </c>
      <c r="E7" s="98">
        <v>17197219.099315524</v>
      </c>
      <c r="F7" s="98">
        <v>703652.58471912763</v>
      </c>
      <c r="G7" s="98">
        <v>766353.13408428861</v>
      </c>
      <c r="H7" s="98">
        <v>1878772.8542499729</v>
      </c>
      <c r="I7" s="98">
        <v>7041614.0497982502</v>
      </c>
      <c r="J7" s="98">
        <v>6864326.2036549393</v>
      </c>
      <c r="K7" s="98">
        <v>1683532.6058182179</v>
      </c>
      <c r="L7" s="98">
        <v>143754.34851838503</v>
      </c>
      <c r="M7" s="98">
        <v>578507.50441306364</v>
      </c>
      <c r="N7" s="98">
        <v>8371553.5876929006</v>
      </c>
      <c r="O7" s="98">
        <v>46742084.764539547</v>
      </c>
    </row>
    <row r="8" spans="1:15" x14ac:dyDescent="0.25">
      <c r="A8" s="78" t="s">
        <v>60</v>
      </c>
      <c r="B8" s="98">
        <v>1375917.9308295024</v>
      </c>
      <c r="C8" s="98">
        <v>4022389.2003353275</v>
      </c>
      <c r="D8" s="98">
        <v>115732.45119573495</v>
      </c>
      <c r="E8" s="98">
        <v>52533339.756931558</v>
      </c>
      <c r="F8" s="98">
        <v>1754674.7928853775</v>
      </c>
      <c r="G8" s="98">
        <v>2543546.8393664076</v>
      </c>
      <c r="H8" s="98">
        <v>6271259.7548684962</v>
      </c>
      <c r="I8" s="98">
        <v>23449243.506372984</v>
      </c>
      <c r="J8" s="98">
        <v>22510338.413108535</v>
      </c>
      <c r="K8" s="98">
        <v>5589023.0362997996</v>
      </c>
      <c r="L8" s="98">
        <v>531447.40014921222</v>
      </c>
      <c r="M8" s="98">
        <v>1904195.9941594463</v>
      </c>
      <c r="N8" s="98">
        <v>13438584.224130735</v>
      </c>
      <c r="O8" s="98">
        <v>136039693.3006331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56</v>
      </c>
      <c r="B1" t="s">
        <v>63</v>
      </c>
      <c r="C1" t="s">
        <v>57</v>
      </c>
      <c r="D1" t="s">
        <v>123</v>
      </c>
    </row>
    <row r="2" spans="1:4" x14ac:dyDescent="0.25">
      <c r="A2" t="s">
        <v>47</v>
      </c>
      <c r="B2" t="s">
        <v>23</v>
      </c>
      <c r="C2">
        <f t="shared" ref="C2:C14" si="0">År1</f>
        <v>2019</v>
      </c>
      <c r="D2" s="23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48</v>
      </c>
      <c r="B3" t="s">
        <v>23</v>
      </c>
      <c r="C3">
        <f t="shared" si="0"/>
        <v>2019</v>
      </c>
      <c r="D3" s="23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49</v>
      </c>
      <c r="B4" t="s">
        <v>23</v>
      </c>
      <c r="C4">
        <f t="shared" si="0"/>
        <v>2019</v>
      </c>
      <c r="D4" s="23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50</v>
      </c>
      <c r="B5" t="s">
        <v>23</v>
      </c>
      <c r="C5">
        <f t="shared" si="0"/>
        <v>2019</v>
      </c>
      <c r="D5" s="23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51</v>
      </c>
      <c r="B8" t="s">
        <v>23</v>
      </c>
      <c r="C8">
        <f t="shared" si="0"/>
        <v>2019</v>
      </c>
      <c r="D8" s="23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52</v>
      </c>
      <c r="B9" t="s">
        <v>23</v>
      </c>
      <c r="C9">
        <f t="shared" si="0"/>
        <v>2019</v>
      </c>
      <c r="D9" s="23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53</v>
      </c>
      <c r="B10" t="s">
        <v>23</v>
      </c>
      <c r="C10">
        <f t="shared" si="0"/>
        <v>2019</v>
      </c>
      <c r="D10" s="23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54</v>
      </c>
      <c r="B11" t="s">
        <v>23</v>
      </c>
      <c r="C11">
        <f t="shared" si="0"/>
        <v>2019</v>
      </c>
      <c r="D11" s="23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111</v>
      </c>
      <c r="B12" t="s">
        <v>23</v>
      </c>
      <c r="C12">
        <f t="shared" si="0"/>
        <v>2019</v>
      </c>
      <c r="D12" s="23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55</v>
      </c>
      <c r="B13" t="s">
        <v>23</v>
      </c>
      <c r="C13">
        <f t="shared" si="0"/>
        <v>2019</v>
      </c>
      <c r="D13" s="23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93</v>
      </c>
      <c r="B14" t="s">
        <v>23</v>
      </c>
      <c r="C14">
        <f t="shared" si="0"/>
        <v>2019</v>
      </c>
      <c r="D14" s="23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47</v>
      </c>
      <c r="B15" t="s">
        <v>23</v>
      </c>
      <c r="C15">
        <f t="shared" ref="C15:C27" si="1">År2</f>
        <v>2030</v>
      </c>
      <c r="D15" s="23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6841876.8816415966</v>
      </c>
    </row>
    <row r="16" spans="1:4" x14ac:dyDescent="0.25">
      <c r="A16" t="s">
        <v>48</v>
      </c>
      <c r="B16" t="s">
        <v>23</v>
      </c>
      <c r="C16">
        <f t="shared" si="1"/>
        <v>2030</v>
      </c>
      <c r="D16" s="23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258348.53377897467</v>
      </c>
    </row>
    <row r="17" spans="1:4" x14ac:dyDescent="0.25">
      <c r="A17" t="s">
        <v>49</v>
      </c>
      <c r="B17" t="s">
        <v>23</v>
      </c>
      <c r="C17">
        <f t="shared" si="1"/>
        <v>2030</v>
      </c>
      <c r="D17" s="23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485690.09927992581</v>
      </c>
    </row>
    <row r="18" spans="1:4" x14ac:dyDescent="0.25">
      <c r="A18" t="s">
        <v>50</v>
      </c>
      <c r="B18" t="s">
        <v>23</v>
      </c>
      <c r="C18">
        <f t="shared" si="1"/>
        <v>2030</v>
      </c>
      <c r="D18" s="23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15739257.35497462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185013.14539265414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2145649.2459728522</v>
      </c>
    </row>
    <row r="21" spans="1:4" x14ac:dyDescent="0.25">
      <c r="A21" t="s">
        <v>51</v>
      </c>
      <c r="B21" t="s">
        <v>23</v>
      </c>
      <c r="C21">
        <f t="shared" si="1"/>
        <v>2030</v>
      </c>
      <c r="D21" s="23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377497.15392097726</v>
      </c>
    </row>
    <row r="22" spans="1:4" x14ac:dyDescent="0.25">
      <c r="A22" t="s">
        <v>52</v>
      </c>
      <c r="B22" t="s">
        <v>23</v>
      </c>
      <c r="C22">
        <f t="shared" si="1"/>
        <v>2030</v>
      </c>
      <c r="D22" s="23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7589241.0420488026</v>
      </c>
    </row>
    <row r="23" spans="1:4" x14ac:dyDescent="0.25">
      <c r="A23" t="s">
        <v>53</v>
      </c>
      <c r="B23" t="s">
        <v>23</v>
      </c>
      <c r="C23">
        <f t="shared" si="1"/>
        <v>2030</v>
      </c>
      <c r="D23" s="23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25941.118107381029</v>
      </c>
    </row>
    <row r="24" spans="1:4" x14ac:dyDescent="0.25">
      <c r="A24" t="s">
        <v>54</v>
      </c>
      <c r="B24" t="s">
        <v>23</v>
      </c>
      <c r="C24">
        <f t="shared" si="1"/>
        <v>2030</v>
      </c>
      <c r="D24" s="23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1610146.3143700545</v>
      </c>
    </row>
    <row r="25" spans="1:4" x14ac:dyDescent="0.25">
      <c r="A25" t="s">
        <v>111</v>
      </c>
      <c r="B25" t="s">
        <v>23</v>
      </c>
      <c r="C25">
        <f t="shared" si="1"/>
        <v>2030</v>
      </c>
      <c r="D25" s="23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887116.63790834171</v>
      </c>
    </row>
    <row r="26" spans="1:4" x14ac:dyDescent="0.25">
      <c r="A26" t="s">
        <v>55</v>
      </c>
      <c r="B26" t="s">
        <v>23</v>
      </c>
      <c r="C26">
        <f t="shared" si="1"/>
        <v>2030</v>
      </c>
      <c r="D26" s="23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766247.46968224843</v>
      </c>
    </row>
    <row r="27" spans="1:4" x14ac:dyDescent="0.25">
      <c r="A27" t="s">
        <v>93</v>
      </c>
      <c r="B27" t="s">
        <v>23</v>
      </c>
      <c r="C27">
        <f t="shared" si="1"/>
        <v>2030</v>
      </c>
      <c r="D27" s="23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170748.12871018023</v>
      </c>
    </row>
    <row r="28" spans="1:4" x14ac:dyDescent="0.25">
      <c r="A28" t="s">
        <v>47</v>
      </c>
      <c r="B28" t="s">
        <v>23</v>
      </c>
      <c r="C28">
        <f t="shared" ref="C28:C40" si="2">År3</f>
        <v>2050</v>
      </c>
      <c r="D28" s="23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6841876.8816415966</v>
      </c>
    </row>
    <row r="29" spans="1:4" x14ac:dyDescent="0.25">
      <c r="A29" t="s">
        <v>48</v>
      </c>
      <c r="B29" t="s">
        <v>23</v>
      </c>
      <c r="C29">
        <f t="shared" si="2"/>
        <v>2050</v>
      </c>
      <c r="D29" s="23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258348.53377897467</v>
      </c>
    </row>
    <row r="30" spans="1:4" x14ac:dyDescent="0.25">
      <c r="A30" t="s">
        <v>49</v>
      </c>
      <c r="B30" t="s">
        <v>23</v>
      </c>
      <c r="C30">
        <f t="shared" si="2"/>
        <v>2050</v>
      </c>
      <c r="D30" s="23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485690.09927992581</v>
      </c>
    </row>
    <row r="31" spans="1:4" x14ac:dyDescent="0.25">
      <c r="A31" t="s">
        <v>50</v>
      </c>
      <c r="B31" t="s">
        <v>23</v>
      </c>
      <c r="C31">
        <f t="shared" si="2"/>
        <v>2050</v>
      </c>
      <c r="D31" s="23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15739257.35497462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185013.14539265414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2145649.2459728522</v>
      </c>
    </row>
    <row r="34" spans="1:4" x14ac:dyDescent="0.25">
      <c r="A34" t="s">
        <v>51</v>
      </c>
      <c r="B34" t="s">
        <v>23</v>
      </c>
      <c r="C34">
        <f t="shared" si="2"/>
        <v>2050</v>
      </c>
      <c r="D34" s="23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377497.15392097726</v>
      </c>
    </row>
    <row r="35" spans="1:4" x14ac:dyDescent="0.25">
      <c r="A35" t="s">
        <v>52</v>
      </c>
      <c r="B35" t="s">
        <v>23</v>
      </c>
      <c r="C35">
        <f t="shared" si="2"/>
        <v>2050</v>
      </c>
      <c r="D35" s="23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7589241.0420488026</v>
      </c>
    </row>
    <row r="36" spans="1:4" x14ac:dyDescent="0.25">
      <c r="A36" t="s">
        <v>53</v>
      </c>
      <c r="B36" t="s">
        <v>23</v>
      </c>
      <c r="C36">
        <f t="shared" si="2"/>
        <v>2050</v>
      </c>
      <c r="D36" s="23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25941.118107381029</v>
      </c>
    </row>
    <row r="37" spans="1:4" x14ac:dyDescent="0.25">
      <c r="A37" t="s">
        <v>54</v>
      </c>
      <c r="B37" t="s">
        <v>23</v>
      </c>
      <c r="C37">
        <f t="shared" si="2"/>
        <v>2050</v>
      </c>
      <c r="D37" s="23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1610146.3143700545</v>
      </c>
    </row>
    <row r="38" spans="1:4" x14ac:dyDescent="0.25">
      <c r="A38" t="s">
        <v>111</v>
      </c>
      <c r="B38" t="s">
        <v>23</v>
      </c>
      <c r="C38">
        <f t="shared" si="2"/>
        <v>2050</v>
      </c>
      <c r="D38" s="23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887116.63790834171</v>
      </c>
    </row>
    <row r="39" spans="1:4" x14ac:dyDescent="0.25">
      <c r="A39" t="s">
        <v>55</v>
      </c>
      <c r="B39" t="s">
        <v>23</v>
      </c>
      <c r="C39">
        <f t="shared" si="2"/>
        <v>2050</v>
      </c>
      <c r="D39" s="23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766247.46968224843</v>
      </c>
    </row>
    <row r="40" spans="1:4" x14ac:dyDescent="0.25">
      <c r="A40" t="s">
        <v>93</v>
      </c>
      <c r="B40" t="s">
        <v>23</v>
      </c>
      <c r="C40">
        <f t="shared" si="2"/>
        <v>2050</v>
      </c>
      <c r="D40" s="23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170748.12871018023</v>
      </c>
    </row>
    <row r="41" spans="1:4" x14ac:dyDescent="0.25">
      <c r="A41" t="s">
        <v>47</v>
      </c>
      <c r="B41" t="s">
        <v>24</v>
      </c>
      <c r="C41">
        <f t="shared" ref="C41:C53" si="3">År1</f>
        <v>2019</v>
      </c>
      <c r="D41" s="23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48</v>
      </c>
      <c r="B42" t="s">
        <v>24</v>
      </c>
      <c r="C42">
        <f t="shared" si="3"/>
        <v>2019</v>
      </c>
      <c r="D42" s="23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49</v>
      </c>
      <c r="B43" t="s">
        <v>24</v>
      </c>
      <c r="C43">
        <f t="shared" si="3"/>
        <v>2019</v>
      </c>
      <c r="D43" s="23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50</v>
      </c>
      <c r="B44" t="s">
        <v>24</v>
      </c>
      <c r="C44">
        <f t="shared" si="3"/>
        <v>2019</v>
      </c>
      <c r="D44" s="23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51</v>
      </c>
      <c r="B47" t="s">
        <v>24</v>
      </c>
      <c r="C47">
        <f t="shared" si="3"/>
        <v>2019</v>
      </c>
      <c r="D47" s="23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52</v>
      </c>
      <c r="B48" t="s">
        <v>24</v>
      </c>
      <c r="C48">
        <f t="shared" si="3"/>
        <v>2019</v>
      </c>
      <c r="D48" s="23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53</v>
      </c>
      <c r="B49" t="s">
        <v>24</v>
      </c>
      <c r="C49">
        <f t="shared" si="3"/>
        <v>2019</v>
      </c>
      <c r="D49" s="23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54</v>
      </c>
      <c r="B50" t="s">
        <v>24</v>
      </c>
      <c r="C50">
        <f t="shared" si="3"/>
        <v>2019</v>
      </c>
      <c r="D50" s="23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111</v>
      </c>
      <c r="B51" t="s">
        <v>24</v>
      </c>
      <c r="C51">
        <f t="shared" si="3"/>
        <v>2019</v>
      </c>
      <c r="D51" s="23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55</v>
      </c>
      <c r="B52" t="s">
        <v>24</v>
      </c>
      <c r="C52">
        <f t="shared" si="3"/>
        <v>2019</v>
      </c>
      <c r="D52" s="23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93</v>
      </c>
      <c r="B53" t="s">
        <v>24</v>
      </c>
      <c r="C53">
        <f t="shared" si="3"/>
        <v>2019</v>
      </c>
      <c r="D53" s="23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47</v>
      </c>
      <c r="B54" t="s">
        <v>24</v>
      </c>
      <c r="C54">
        <f t="shared" ref="C54:C66" si="4">År2</f>
        <v>2030</v>
      </c>
      <c r="D54" s="23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2269251.3708149861</v>
      </c>
    </row>
    <row r="55" spans="1:4" x14ac:dyDescent="0.25">
      <c r="A55" t="s">
        <v>48</v>
      </c>
      <c r="B55" t="s">
        <v>24</v>
      </c>
      <c r="C55">
        <f t="shared" si="4"/>
        <v>2030</v>
      </c>
      <c r="D55" s="23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26978.814349339031</v>
      </c>
    </row>
    <row r="56" spans="1:4" x14ac:dyDescent="0.25">
      <c r="A56" t="s">
        <v>49</v>
      </c>
      <c r="B56" t="s">
        <v>24</v>
      </c>
      <c r="C56">
        <f t="shared" si="4"/>
        <v>2030</v>
      </c>
      <c r="D56" s="23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192597.21080122079</v>
      </c>
    </row>
    <row r="57" spans="1:4" x14ac:dyDescent="0.25">
      <c r="A57" t="s">
        <v>50</v>
      </c>
      <c r="B57" t="s">
        <v>24</v>
      </c>
      <c r="C57">
        <f t="shared" si="4"/>
        <v>2030</v>
      </c>
      <c r="D57" s="23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2146014.9847131255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95306.051606825611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116599.33594982738</v>
      </c>
    </row>
    <row r="60" spans="1:4" x14ac:dyDescent="0.25">
      <c r="A60" t="s">
        <v>51</v>
      </c>
      <c r="B60" t="s">
        <v>24</v>
      </c>
      <c r="C60">
        <f t="shared" si="4"/>
        <v>2030</v>
      </c>
      <c r="D60" s="23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2233462.9797265115</v>
      </c>
    </row>
    <row r="61" spans="1:4" x14ac:dyDescent="0.25">
      <c r="A61" t="s">
        <v>52</v>
      </c>
      <c r="B61" t="s">
        <v>24</v>
      </c>
      <c r="C61">
        <f t="shared" si="4"/>
        <v>2030</v>
      </c>
      <c r="D61" s="23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365331.29920084751</v>
      </c>
    </row>
    <row r="62" spans="1:4" x14ac:dyDescent="0.25">
      <c r="A62" t="s">
        <v>53</v>
      </c>
      <c r="B62" t="s">
        <v>24</v>
      </c>
      <c r="C62">
        <f t="shared" si="4"/>
        <v>2030</v>
      </c>
      <c r="D62" s="23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15785.543070632491</v>
      </c>
    </row>
    <row r="63" spans="1:4" x14ac:dyDescent="0.25">
      <c r="A63" t="s">
        <v>54</v>
      </c>
      <c r="B63" t="s">
        <v>24</v>
      </c>
      <c r="C63">
        <f t="shared" si="4"/>
        <v>2030</v>
      </c>
      <c r="D63" s="23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395582.15440421121</v>
      </c>
    </row>
    <row r="64" spans="1:4" x14ac:dyDescent="0.25">
      <c r="A64" t="s">
        <v>111</v>
      </c>
      <c r="B64" t="s">
        <v>24</v>
      </c>
      <c r="C64">
        <f t="shared" si="4"/>
        <v>2030</v>
      </c>
      <c r="D64" s="23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621027.97254810657</v>
      </c>
    </row>
    <row r="65" spans="1:4" x14ac:dyDescent="0.25">
      <c r="A65" t="s">
        <v>55</v>
      </c>
      <c r="B65" t="s">
        <v>24</v>
      </c>
      <c r="C65">
        <f t="shared" si="4"/>
        <v>2030</v>
      </c>
      <c r="D65" s="23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145676.42027029704</v>
      </c>
    </row>
    <row r="66" spans="1:4" x14ac:dyDescent="0.25">
      <c r="A66" t="s">
        <v>93</v>
      </c>
      <c r="B66" t="s">
        <v>24</v>
      </c>
      <c r="C66">
        <f t="shared" si="4"/>
        <v>2030</v>
      </c>
      <c r="D66" s="23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38930.749033080756</v>
      </c>
    </row>
    <row r="67" spans="1:4" x14ac:dyDescent="0.25">
      <c r="A67" t="s">
        <v>47</v>
      </c>
      <c r="B67" t="s">
        <v>24</v>
      </c>
      <c r="C67">
        <f t="shared" ref="C67:C79" si="5">År3</f>
        <v>2050</v>
      </c>
      <c r="D67" s="23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2269251.3708149861</v>
      </c>
    </row>
    <row r="68" spans="1:4" x14ac:dyDescent="0.25">
      <c r="A68" t="s">
        <v>48</v>
      </c>
      <c r="B68" t="s">
        <v>24</v>
      </c>
      <c r="C68">
        <f t="shared" si="5"/>
        <v>2050</v>
      </c>
      <c r="D68" s="23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26978.814349339031</v>
      </c>
    </row>
    <row r="69" spans="1:4" x14ac:dyDescent="0.25">
      <c r="A69" t="s">
        <v>49</v>
      </c>
      <c r="B69" t="s">
        <v>24</v>
      </c>
      <c r="C69">
        <f t="shared" si="5"/>
        <v>2050</v>
      </c>
      <c r="D69" s="23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192597.21080122079</v>
      </c>
    </row>
    <row r="70" spans="1:4" x14ac:dyDescent="0.25">
      <c r="A70" t="s">
        <v>50</v>
      </c>
      <c r="B70" t="s">
        <v>24</v>
      </c>
      <c r="C70">
        <f t="shared" si="5"/>
        <v>2050</v>
      </c>
      <c r="D70" s="23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2146014.9847131255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95306.051606825611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116599.33594982738</v>
      </c>
    </row>
    <row r="73" spans="1:4" x14ac:dyDescent="0.25">
      <c r="A73" t="s">
        <v>51</v>
      </c>
      <c r="B73" t="s">
        <v>24</v>
      </c>
      <c r="C73">
        <f t="shared" si="5"/>
        <v>2050</v>
      </c>
      <c r="D73" s="23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2233462.9797265115</v>
      </c>
    </row>
    <row r="74" spans="1:4" x14ac:dyDescent="0.25">
      <c r="A74" t="s">
        <v>52</v>
      </c>
      <c r="B74" t="s">
        <v>24</v>
      </c>
      <c r="C74">
        <f t="shared" si="5"/>
        <v>2050</v>
      </c>
      <c r="D74" s="23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365331.29920084751</v>
      </c>
    </row>
    <row r="75" spans="1:4" x14ac:dyDescent="0.25">
      <c r="A75" t="s">
        <v>53</v>
      </c>
      <c r="B75" t="s">
        <v>24</v>
      </c>
      <c r="C75">
        <f t="shared" si="5"/>
        <v>2050</v>
      </c>
      <c r="D75" s="23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15785.543070632491</v>
      </c>
    </row>
    <row r="76" spans="1:4" x14ac:dyDescent="0.25">
      <c r="A76" t="s">
        <v>54</v>
      </c>
      <c r="B76" t="s">
        <v>24</v>
      </c>
      <c r="C76">
        <f t="shared" si="5"/>
        <v>2050</v>
      </c>
      <c r="D76" s="23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395582.15440421121</v>
      </c>
    </row>
    <row r="77" spans="1:4" x14ac:dyDescent="0.25">
      <c r="A77" t="s">
        <v>111</v>
      </c>
      <c r="B77" t="s">
        <v>24</v>
      </c>
      <c r="C77">
        <f t="shared" si="5"/>
        <v>2050</v>
      </c>
      <c r="D77" s="23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621027.97254810657</v>
      </c>
    </row>
    <row r="78" spans="1:4" x14ac:dyDescent="0.25">
      <c r="A78" t="s">
        <v>55</v>
      </c>
      <c r="B78" t="s">
        <v>24</v>
      </c>
      <c r="C78">
        <f t="shared" si="5"/>
        <v>2050</v>
      </c>
      <c r="D78" s="23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145676.42027029704</v>
      </c>
    </row>
    <row r="79" spans="1:4" x14ac:dyDescent="0.25">
      <c r="A79" t="s">
        <v>93</v>
      </c>
      <c r="B79" t="s">
        <v>24</v>
      </c>
      <c r="C79">
        <f t="shared" si="5"/>
        <v>2050</v>
      </c>
      <c r="D79" s="23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38930.749033080756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117</v>
      </c>
      <c r="C5" s="168" t="s">
        <v>116</v>
      </c>
      <c r="D5" s="168" t="s">
        <v>60</v>
      </c>
    </row>
    <row r="6" spans="1:4" x14ac:dyDescent="0.25">
      <c r="A6" s="78">
        <v>2019</v>
      </c>
      <c r="B6" s="235">
        <v>3010238.4923246857</v>
      </c>
      <c r="C6" s="235">
        <v>827693.20492220437</v>
      </c>
      <c r="D6" s="235">
        <v>3837931.69724689</v>
      </c>
    </row>
    <row r="7" spans="1:4" x14ac:dyDescent="0.25">
      <c r="A7" s="78">
        <v>2030</v>
      </c>
      <c r="B7" s="235">
        <v>2887341.7522961246</v>
      </c>
      <c r="C7" s="235">
        <v>796263.82624095271</v>
      </c>
      <c r="D7" s="235">
        <v>3683605.5785370772</v>
      </c>
    </row>
    <row r="8" spans="1:4" x14ac:dyDescent="0.25">
      <c r="A8" s="78">
        <v>2050</v>
      </c>
      <c r="B8" s="235">
        <v>3219025.8677428318</v>
      </c>
      <c r="C8" s="235">
        <v>960666.59070625633</v>
      </c>
      <c r="D8" s="235">
        <v>4179692.458449088</v>
      </c>
    </row>
    <row r="9" spans="1:4" x14ac:dyDescent="0.25">
      <c r="A9" s="78" t="s">
        <v>60</v>
      </c>
      <c r="B9" s="235">
        <v>9116606.1123636421</v>
      </c>
      <c r="C9" s="235">
        <v>2584623.6218694132</v>
      </c>
      <c r="D9" s="235">
        <v>11701229.734233055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104</v>
      </c>
      <c r="C5" s="168" t="s">
        <v>97</v>
      </c>
      <c r="D5" s="168" t="s">
        <v>60</v>
      </c>
    </row>
    <row r="6" spans="1:4" x14ac:dyDescent="0.25">
      <c r="A6" s="78">
        <v>2019</v>
      </c>
      <c r="B6" s="235">
        <v>880.09999999999991</v>
      </c>
      <c r="C6" s="235">
        <v>76.5</v>
      </c>
      <c r="D6" s="235">
        <v>956.59999999999991</v>
      </c>
    </row>
    <row r="7" spans="1:4" x14ac:dyDescent="0.25">
      <c r="A7" s="78">
        <v>2030</v>
      </c>
      <c r="B7" s="235">
        <v>279460.19505556813</v>
      </c>
      <c r="C7" s="235">
        <v>120600</v>
      </c>
      <c r="D7" s="235">
        <v>400060.19505556813</v>
      </c>
    </row>
    <row r="8" spans="1:4" x14ac:dyDescent="0.25">
      <c r="A8" s="78">
        <v>2050</v>
      </c>
      <c r="B8" s="235">
        <v>279460.19505556813</v>
      </c>
      <c r="C8" s="235">
        <v>120600</v>
      </c>
      <c r="D8" s="235">
        <v>400060.19505556813</v>
      </c>
    </row>
    <row r="9" spans="1:4" x14ac:dyDescent="0.25">
      <c r="A9" s="78" t="s">
        <v>60</v>
      </c>
      <c r="B9" s="235">
        <v>559800.49011113623</v>
      </c>
      <c r="C9" s="235">
        <v>241276.5</v>
      </c>
      <c r="D9" s="235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63</v>
      </c>
      <c r="B1" s="168" t="s">
        <v>78</v>
      </c>
    </row>
    <row r="3" spans="1:7" x14ac:dyDescent="0.25">
      <c r="A3" s="77" t="s">
        <v>77</v>
      </c>
      <c r="B3" s="77" t="s">
        <v>61</v>
      </c>
    </row>
    <row r="4" spans="1:7" x14ac:dyDescent="0.25">
      <c r="A4" s="77" t="s">
        <v>59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60</v>
      </c>
    </row>
    <row r="5" spans="1:7" x14ac:dyDescent="0.25">
      <c r="A5" s="78">
        <v>2019</v>
      </c>
      <c r="B5" s="235">
        <v>65860</v>
      </c>
      <c r="C5" s="235">
        <v>591230</v>
      </c>
      <c r="D5" s="235">
        <v>2578370</v>
      </c>
      <c r="E5" s="235">
        <v>472920</v>
      </c>
      <c r="F5" s="235">
        <v>561900</v>
      </c>
      <c r="G5" s="235">
        <v>4270280</v>
      </c>
    </row>
    <row r="6" spans="1:7" x14ac:dyDescent="0.25">
      <c r="A6" s="78">
        <v>2030</v>
      </c>
      <c r="B6" s="235">
        <v>65860</v>
      </c>
      <c r="C6" s="235">
        <v>591230</v>
      </c>
      <c r="D6" s="235">
        <v>2278369.9999999995</v>
      </c>
      <c r="E6" s="235">
        <v>572920.00000000012</v>
      </c>
      <c r="F6" s="235">
        <v>761900</v>
      </c>
      <c r="G6" s="235">
        <v>4270280</v>
      </c>
    </row>
    <row r="7" spans="1:7" x14ac:dyDescent="0.25">
      <c r="A7" s="78">
        <v>2050</v>
      </c>
      <c r="B7" s="235">
        <v>65860</v>
      </c>
      <c r="C7" s="235">
        <v>591230</v>
      </c>
      <c r="D7" s="235">
        <v>1899636</v>
      </c>
      <c r="E7" s="235">
        <v>651654.00000000012</v>
      </c>
      <c r="F7" s="235">
        <v>1061900</v>
      </c>
      <c r="G7" s="235">
        <v>4270280</v>
      </c>
    </row>
    <row r="8" spans="1:7" x14ac:dyDescent="0.25">
      <c r="A8" s="78" t="s">
        <v>60</v>
      </c>
      <c r="B8" s="235">
        <v>197580</v>
      </c>
      <c r="C8" s="235">
        <v>1773690</v>
      </c>
      <c r="D8" s="235">
        <v>6756376</v>
      </c>
      <c r="E8" s="235">
        <v>1697494.0000000002</v>
      </c>
      <c r="F8" s="235">
        <v>2385700</v>
      </c>
      <c r="G8" s="235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62</v>
      </c>
      <c r="B1" s="168" t="s">
        <v>78</v>
      </c>
    </row>
    <row r="2" spans="1:16" x14ac:dyDescent="0.25">
      <c r="A2" s="77" t="s">
        <v>63</v>
      </c>
      <c r="B2" s="168" t="s">
        <v>78</v>
      </c>
    </row>
    <row r="4" spans="1:16" x14ac:dyDescent="0.25">
      <c r="A4" s="77" t="s">
        <v>85</v>
      </c>
      <c r="B4" s="77" t="s">
        <v>61</v>
      </c>
    </row>
    <row r="5" spans="1:16" x14ac:dyDescent="0.25">
      <c r="A5" s="77" t="s">
        <v>59</v>
      </c>
      <c r="B5" s="168" t="s">
        <v>48</v>
      </c>
      <c r="C5" s="168" t="s">
        <v>53</v>
      </c>
      <c r="D5" s="168" t="s">
        <v>50</v>
      </c>
      <c r="E5" s="168" t="s">
        <v>6</v>
      </c>
      <c r="F5" s="168" t="s">
        <v>55</v>
      </c>
      <c r="G5" s="168" t="s">
        <v>12</v>
      </c>
      <c r="H5" s="168" t="s">
        <v>47</v>
      </c>
      <c r="I5" s="168" t="s">
        <v>52</v>
      </c>
      <c r="J5" s="168" t="s">
        <v>54</v>
      </c>
      <c r="K5" s="168" t="s">
        <v>49</v>
      </c>
      <c r="L5" s="168" t="s">
        <v>51</v>
      </c>
      <c r="M5" s="168" t="s">
        <v>37</v>
      </c>
      <c r="N5" s="168" t="s">
        <v>93</v>
      </c>
      <c r="O5" s="168" t="s">
        <v>111</v>
      </c>
      <c r="P5" s="168" t="s">
        <v>60</v>
      </c>
    </row>
    <row r="6" spans="1:16" x14ac:dyDescent="0.25">
      <c r="A6" s="78">
        <v>2019</v>
      </c>
      <c r="B6" s="235">
        <v>76853.212866422313</v>
      </c>
      <c r="C6" s="235">
        <v>5114.7808931059071</v>
      </c>
      <c r="D6" s="235">
        <v>288931.41565564787</v>
      </c>
      <c r="E6" s="235">
        <v>12752.078568827996</v>
      </c>
      <c r="F6" s="235">
        <v>18942.69646674622</v>
      </c>
      <c r="G6" s="235">
        <v>55075.520801981496</v>
      </c>
      <c r="H6" s="235">
        <v>1337821.3326830014</v>
      </c>
      <c r="I6" s="235">
        <v>180140.67588310441</v>
      </c>
      <c r="J6" s="235">
        <v>69938.636069140397</v>
      </c>
      <c r="K6" s="235">
        <v>161431.62233269325</v>
      </c>
      <c r="L6" s="235">
        <v>33966.356863719026</v>
      </c>
      <c r="M6" s="235">
        <v>221005.01507630604</v>
      </c>
      <c r="N6" s="235">
        <v>8579.6273865744097</v>
      </c>
      <c r="O6" s="235">
        <v>107817.02845272887</v>
      </c>
      <c r="P6" s="235">
        <v>2578370</v>
      </c>
    </row>
    <row r="7" spans="1:16" x14ac:dyDescent="0.25">
      <c r="A7" s="78">
        <v>2030</v>
      </c>
      <c r="B7" s="235">
        <v>199829.53804586967</v>
      </c>
      <c r="C7" s="235">
        <v>4560.2674097997924</v>
      </c>
      <c r="D7" s="235">
        <v>282517.39380976727</v>
      </c>
      <c r="E7" s="235">
        <v>33094.81999075169</v>
      </c>
      <c r="F7" s="235">
        <v>17095.512143016578</v>
      </c>
      <c r="G7" s="235">
        <v>49497.245929057179</v>
      </c>
      <c r="H7" s="235">
        <v>1013573.4662270322</v>
      </c>
      <c r="I7" s="235">
        <v>164539.73836605082</v>
      </c>
      <c r="J7" s="235">
        <v>62987.677488143483</v>
      </c>
      <c r="K7" s="235">
        <v>145931.69004824533</v>
      </c>
      <c r="L7" s="235">
        <v>29741.385965430891</v>
      </c>
      <c r="M7" s="235">
        <v>175530.49803413817</v>
      </c>
      <c r="N7" s="235">
        <v>7100.6269621881202</v>
      </c>
      <c r="O7" s="235">
        <v>93143.939406838661</v>
      </c>
      <c r="P7" s="235">
        <v>2279143.79982633</v>
      </c>
    </row>
    <row r="8" spans="1:16" x14ac:dyDescent="0.25">
      <c r="A8" s="78">
        <v>2050</v>
      </c>
      <c r="B8" s="235">
        <v>75985.439999999988</v>
      </c>
      <c r="C8" s="235">
        <v>3856.6246242587122</v>
      </c>
      <c r="D8" s="235">
        <v>313439.93999999994</v>
      </c>
      <c r="E8" s="235">
        <v>28494.539999999994</v>
      </c>
      <c r="F8" s="235">
        <v>14412.414806996741</v>
      </c>
      <c r="G8" s="235">
        <v>41596.868517815572</v>
      </c>
      <c r="H8" s="235">
        <v>927022.36799999978</v>
      </c>
      <c r="I8" s="235">
        <v>138216.16148320961</v>
      </c>
      <c r="J8" s="235">
        <v>53130.292819429109</v>
      </c>
      <c r="K8" s="235">
        <v>124102.62830577194</v>
      </c>
      <c r="L8" s="235">
        <v>96881.435999999987</v>
      </c>
      <c r="M8" s="235">
        <v>0</v>
      </c>
      <c r="N8" s="235">
        <v>5542.2060385333634</v>
      </c>
      <c r="O8" s="235">
        <v>76736.379999162556</v>
      </c>
      <c r="P8" s="235">
        <v>1899417.3005951773</v>
      </c>
    </row>
    <row r="9" spans="1:16" x14ac:dyDescent="0.25">
      <c r="A9" s="78" t="s">
        <v>60</v>
      </c>
      <c r="B9" s="235">
        <v>352668.19091229199</v>
      </c>
      <c r="C9" s="235">
        <v>13531.672927164411</v>
      </c>
      <c r="D9" s="235">
        <v>884888.74946541502</v>
      </c>
      <c r="E9" s="235">
        <v>74341.438559579678</v>
      </c>
      <c r="F9" s="235">
        <v>50450.623416759539</v>
      </c>
      <c r="G9" s="235">
        <v>146169.63524885423</v>
      </c>
      <c r="H9" s="235">
        <v>3278417.1669100337</v>
      </c>
      <c r="I9" s="235">
        <v>482896.57573236478</v>
      </c>
      <c r="J9" s="235">
        <v>186056.606376713</v>
      </c>
      <c r="K9" s="235">
        <v>431465.94068671053</v>
      </c>
      <c r="L9" s="235">
        <v>160589.1788291499</v>
      </c>
      <c r="M9" s="235">
        <v>396535.51311044418</v>
      </c>
      <c r="N9" s="235">
        <v>21222.460387295894</v>
      </c>
      <c r="O9" s="235">
        <v>277697.34785873012</v>
      </c>
      <c r="P9" s="235">
        <v>6756931.1004215069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63</v>
      </c>
      <c r="B1" t="s">
        <v>76</v>
      </c>
      <c r="C1" t="s">
        <v>57</v>
      </c>
      <c r="D1" t="s">
        <v>62</v>
      </c>
      <c r="E1" t="s">
        <v>75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1853876.1391137983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435064.52162306459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87250.625185185185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53389.374814814815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67048.817777777775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44942.293333333328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1853876.1391137983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435064.52162306459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87250.625185185185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53389.374814814815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67048.817777777775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44942.293333333328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546059.8608862015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127345.4783769354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13251.374814814815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8108.6251851851857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10183.182222222222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6825.7066666666669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546059.8608862015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127345.4783769354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13251.374814814815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8108.6251851851857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10183.182222222222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6825.7066666666669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63</v>
      </c>
      <c r="B1" t="s">
        <v>56</v>
      </c>
      <c r="C1" t="s">
        <v>57</v>
      </c>
      <c r="D1" t="s">
        <v>58</v>
      </c>
      <c r="E1" t="s">
        <v>62</v>
      </c>
      <c r="F1" t="s">
        <v>87</v>
      </c>
      <c r="G1" t="s">
        <v>83</v>
      </c>
      <c r="H1" t="s">
        <v>84</v>
      </c>
      <c r="I1" t="s">
        <v>70</v>
      </c>
      <c r="J1" t="s">
        <v>86</v>
      </c>
      <c r="L1" t="s">
        <v>63</v>
      </c>
      <c r="M1" t="s">
        <v>80</v>
      </c>
      <c r="N1" t="s">
        <v>57</v>
      </c>
      <c r="O1" t="s">
        <v>79</v>
      </c>
      <c r="P1" t="s">
        <v>75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10313649.885301495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1183003.2176968176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10313649.885301495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1183003.2176968176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428793.11469850532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209460.78230318244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856024.05830682674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6000728.6487308554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1958622.8291241296</v>
      </c>
      <c r="J16" s="76">
        <f t="shared" si="2"/>
        <v>1958622.8291241296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59143.999319161092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228295.83737196182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67776.181350591331</v>
      </c>
      <c r="J17" s="76">
        <f t="shared" si="2"/>
        <v>67776.181350591331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428793.11469850532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99458.982869280968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437619.52462483628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233734.77619974819</v>
      </c>
      <c r="J18" s="76">
        <f t="shared" si="2"/>
        <v>233734.77619974819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209460.78230318244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189636.9989648702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9409787.8886368591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9409787.8886368591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7338.5205805106789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152274.30204559659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152274.30204559659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43716.498839298802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1856679.0274235529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1856679.0274235529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4267.6414750315462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346761.79388166772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346761.79388166772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146143.69836902106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6504856.0144051276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6504856.0144051276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2685.4308255346846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22799.307708789474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22799.307708789474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47494.264779726094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1415136.4303395611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1415136.4303395611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49959.789539022684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713868.47629670368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118594.54840773207</v>
      </c>
      <c r="J26" s="76">
        <f t="shared" si="2"/>
        <v>118594.54840773207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13468.89657573873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673444.82878693659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673444.82878693659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4954.292308391774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120836.39776565303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120836.39776565303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119415.94261463804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1646745.8486558588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1646745.8486558588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856024.05830682674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6000728.6487308554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1958622.8291241296</v>
      </c>
      <c r="J30" s="76">
        <f t="shared" si="2"/>
        <v>1958622.8291241296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59143.999319161092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228295.83737196182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67776.181350591331</v>
      </c>
      <c r="J31" s="76">
        <f t="shared" si="2"/>
        <v>67776.181350591331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99458.982869280968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437619.52462483628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233734.77619974819</v>
      </c>
      <c r="J32" s="76">
        <f t="shared" si="2"/>
        <v>233734.77619974819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189636.9989648702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9409787.8886368591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9409787.8886368591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7338.5205805106789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152274.30204559659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152274.30204559659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43716.498839298802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1856679.0274235529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1856679.0274235529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4267.6414750315462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346761.79388166772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346761.79388166772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146143.69836902106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6504856.0144051276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6504856.0144051276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2685.4308255346846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22799.307708789474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22799.307708789474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47494.264779726094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1415136.4303395611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1415136.4303395611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49959.789539022684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713868.47629670368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118594.54840773207</v>
      </c>
      <c r="J40" s="76">
        <f t="shared" si="2"/>
        <v>118594.54840773207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13468.89657573873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673444.82878693659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673444.82878693659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4954.292308391774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120836.39776565303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120836.39776565303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119415.94261463804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1646745.8486558588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1646745.8486558588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109452.53235846422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514065.70872799889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167789.76216454705</v>
      </c>
      <c r="J58" s="76">
        <f t="shared" si="2"/>
        <v>167789.76216454705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7562.2413137472431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16638.443338506688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4939.6001525197526</v>
      </c>
      <c r="J59" s="76">
        <f t="shared" si="2"/>
        <v>4939.6001525197526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12716.97615879156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30775.08230427558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16437.12533412511</v>
      </c>
      <c r="J60" s="76">
        <f t="shared" si="2"/>
        <v>16437.12533412511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24247.273851881382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938456.78825367638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938456.78825367638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938.31435402683587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11097.913022252402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11097.913022252402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5589.6577407781906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135316.74143163554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135316.74143163554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545.66710141783074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25272.368195039435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25272.368195039435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18686.154576496141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690328.21436586999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690328.21436586999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343.36325185722677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1661.6377847126778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1661.6377847126778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6072.6886145309409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103136.64753378094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103136.64753378094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6387.934343758774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52027.493495891315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8643.296770772311</v>
      </c>
      <c r="J68" s="76">
        <f t="shared" si="2"/>
        <v>8643.296770772311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1722.1535119056764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49081.375089311776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49081.375089311776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633.46331675549425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8806.6851353812599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8806.6851353812599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15268.703252333511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210555.41784967913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210555.41784967913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109452.53235846422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514065.70872799889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167789.76216454705</v>
      </c>
      <c r="J72" s="76">
        <f t="shared" ref="J72:J139" si="15">IF(I72&lt;&gt;0,I72,H72)</f>
        <v>167789.76216454705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7562.2413137472431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16638.443338506688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4939.6001525197526</v>
      </c>
      <c r="J73" s="76">
        <f t="shared" si="15"/>
        <v>4939.6001525197526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12716.97615879156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30775.08230427558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16437.12533412511</v>
      </c>
      <c r="J74" s="76">
        <f t="shared" si="15"/>
        <v>16437.12533412511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24247.273851881382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938456.78825367638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938456.78825367638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938.31435402683587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11097.913022252402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11097.913022252402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5589.6577407781906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135316.74143163554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135316.74143163554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545.66710141783074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25272.368195039435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25272.368195039435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18686.154576496141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690328.21436586999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690328.21436586999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343.36325185722677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1661.6377847126778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1661.6377847126778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6072.6886145309409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103136.64753378094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103136.64753378094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6387.934343758774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52027.493495891315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8643.296770772311</v>
      </c>
      <c r="J82" s="76">
        <f t="shared" si="15"/>
        <v>8643.296770772311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1722.1535119056764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49081.375089311776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49081.375089311776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633.46331675549425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8806.6851353812599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8806.6851353812599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15268.703252333511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210555.41784967913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210555.41784967913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22635.91835790575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190413.34522670315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62150.439848632843</v>
      </c>
      <c r="J100" s="76">
        <f t="shared" si="15"/>
        <v>62150.439848632843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1940.4460603454415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8988.1461515200845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2668.3895360672122</v>
      </c>
      <c r="J101" s="76">
        <f t="shared" si="15"/>
        <v>2668.3895360672122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2077.7966510372653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10970.766317476762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5859.5411439959262</v>
      </c>
      <c r="J102" s="76">
        <f t="shared" si="15"/>
        <v>5859.5411439959262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19174.640913496198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1141734.8185532177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1141734.8185532177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89.680516787297492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2233.0448680037075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2233.0448680037075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1415.8229166406438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72157.52731348855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72157.52731348855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37.144566460621064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3621.7615488648548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3621.7615488648548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4794.8053396620016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256100.14280202682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256100.14280202682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81.683630839432524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832.19283099213862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832.19283099213862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1444.648640496996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51653.603137711965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51653.603137711965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3565.818870427081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61141.787199729079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10157.449001543768</v>
      </c>
      <c r="J110" s="76">
        <f t="shared" si="15"/>
        <v>10157.449001543768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409.68784794078073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24581.270876446844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24581.270876446844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672.85851532837171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19693.419960830393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19693.419960830393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19018.389680733297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314716.31243677461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314716.31243677461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22635.91835790575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190413.34522670315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62150.439848632843</v>
      </c>
      <c r="J114" s="76">
        <f t="shared" si="15"/>
        <v>62150.439848632843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1940.4460603454415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8988.1461515200845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2668.3895360672122</v>
      </c>
      <c r="J115" s="76">
        <f t="shared" si="15"/>
        <v>2668.3895360672122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2077.7966510372653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10970.766317476762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5859.5411439959262</v>
      </c>
      <c r="J116" s="76">
        <f t="shared" si="15"/>
        <v>5859.5411439959262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19174.640913496198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1141734.8185532177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1141734.8185532177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89.680516787297492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2233.0448680037075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2233.0448680037075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1415.8229166406438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72157.52731348855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72157.52731348855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37.144566460621064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3621.7615488648548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3621.7615488648548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4794.8053396620016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256100.14280202682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256100.14280202682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81.683630839432524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832.19283099213862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832.19283099213862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1444.648640496996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51653.603137711965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51653.603137711965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3565.818870427081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61141.787199729079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10157.449001543768</v>
      </c>
      <c r="J124" s="76">
        <f t="shared" si="15"/>
        <v>10157.449001543768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409.68784794078073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24581.270876446844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24581.270876446844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672.85851532837171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19693.419960830393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19693.419960830393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19018.389680733297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314716.31243677461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314716.31243677461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2894.2627984460178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16312.180902553697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5324.2550661412697</v>
      </c>
      <c r="J142" s="76">
        <f t="shared" si="29"/>
        <v>5324.2550661412697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248.10837166177816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655.06564719629318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194.47506626492333</v>
      </c>
      <c r="J143" s="76">
        <f t="shared" si="29"/>
        <v>194.47506626492333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265.67022617540744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771.50633681338331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412.06539202371209</v>
      </c>
      <c r="J144" s="76">
        <f t="shared" si="29"/>
        <v>412.06539202371209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2451.6986230474936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113867.47539237718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113867.47539237718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11.466686678176497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162.74668402335902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162.74668402335902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181.02926207936162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5258.9173042875573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5258.9173042875573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4.7493605150698004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263.9578321272142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263.9578321272142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613.07107142517441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27178.642215577973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27178.642215577973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10.444192731327741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60.651098261657197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60.651098261657197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184.71496278196111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3764.5695117789446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3764.5695117789446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455.93100043451182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4456.0784535034445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740.2856820407078</v>
      </c>
      <c r="J152" s="76">
        <f t="shared" si="29"/>
        <v>740.2856820407078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52.383308621374375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1791.5091548510036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1791.5091548510036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86.032708668626768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1435.2773836424562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1435.2773836424562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2431.7201038177204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40240.104277975639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40240.104277975639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2894.2627984460178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16312.180902553697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5324.2550661412697</v>
      </c>
      <c r="J156" s="76">
        <f t="shared" si="29"/>
        <v>5324.2550661412697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248.10837166177816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655.06564719629318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194.47506626492333</v>
      </c>
      <c r="J157" s="76">
        <f t="shared" si="29"/>
        <v>194.47506626492333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265.67022617540744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771.50633681338331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412.06539202371209</v>
      </c>
      <c r="J158" s="76">
        <f t="shared" si="29"/>
        <v>412.06539202371209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2451.6986230474936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113867.47539237718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113867.47539237718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11.466686678176497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162.74668402335902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162.74668402335902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181.02926207936162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5258.9173042875573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5258.9173042875573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4.7493605150698004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263.9578321272142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263.9578321272142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613.07107142517441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27178.642215577973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27178.642215577973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10.444192731327741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60.651098261657197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60.651098261657197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184.71496278196111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3764.5695117789446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3764.5695117789446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455.93100043451182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4456.0784535034445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740.2856820407078</v>
      </c>
      <c r="J166" s="76">
        <f t="shared" si="29"/>
        <v>740.2856820407078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52.383308621374375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1791.5091548510036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1791.5091548510036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86.032708668626768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1435.2773836424562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1435.2773836424562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2431.7201038177204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40240.104277975639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40240.104277975639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11296.101092191502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110859.93611876739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36184.405999325383</v>
      </c>
      <c r="J184" s="76">
        <f t="shared" si="29"/>
        <v>36184.405999325383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650.4207159045452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3514.8735487481626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1043.4912427956933</v>
      </c>
      <c r="J185" s="76">
        <f t="shared" si="29"/>
        <v>1043.4912427956933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842.26537456010396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5188.3547072902402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2771.1261909372538</v>
      </c>
      <c r="J186" s="76">
        <f t="shared" si="29"/>
        <v>2771.1261909372538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19425.298339632762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1349436.6250576086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1349436.6250576086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22.57826722289504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655.89866282510093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655.89866282510093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1195.0743050553408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71058.232938364599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71058.232938364599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12.923608459073616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1470.1279736070965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1470.1279736070965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1607.1772286680882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100149.64182722324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100149.64182722324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46.056815483742021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547.43130883975766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547.43130883975766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814.55629714844781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33978.66277970159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33978.66277970159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2591.6458017794043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51844.332399373139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8612.8683259695299</v>
      </c>
      <c r="J194" s="76">
        <f t="shared" si="29"/>
        <v>8612.8683259695299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230.99998646768015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16169.99905273761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16169.99905273761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545.28097634153664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18619.350411662224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18619.350411662224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20167.360943385029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389351.07037299138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389351.07037299138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11296.101092191502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110859.93611876739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36184.405999325383</v>
      </c>
      <c r="J198" s="76">
        <f t="shared" si="29"/>
        <v>36184.405999325383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650.4207159045452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3514.8735487481626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1043.4912427956933</v>
      </c>
      <c r="J199" s="76">
        <f t="shared" si="29"/>
        <v>1043.4912427956933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842.26537456010396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5188.3547072902402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2771.1261909372538</v>
      </c>
      <c r="J200" s="76">
        <f t="shared" si="29"/>
        <v>2771.1261909372538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19425.298339632762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1349436.6250576086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1349436.6250576086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22.57826722289504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655.89866282510093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655.89866282510093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1195.0743050553408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71058.232938364599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71058.232938364599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12.923608459073616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1470.1279736070965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1470.1279736070965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1607.1772286680882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100149.64182722324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100149.64182722324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46.056815483742021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547.43130883975766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547.43130883975766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814.55629714844781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33978.66277970159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33978.66277970159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2591.6458017794043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51844.332399373139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8612.8683259695299</v>
      </c>
      <c r="J208" s="76">
        <f t="shared" si="29"/>
        <v>8612.8683259695299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230.99998646768015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16169.99905273761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16169.99905273761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545.28097634153664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18619.350411662224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18619.350411662224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20167.360943385029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389351.07037299138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389351.07037299138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1444.3365911503531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9497.0619347182073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3099.8172728371874</v>
      </c>
      <c r="J226" s="76">
        <f t="shared" si="42"/>
        <v>3099.8172728371874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83.163777657100411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256.16772104161322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76.050751154065466</v>
      </c>
      <c r="J227" s="76">
        <f t="shared" si="42"/>
        <v>76.050751154065466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107.69332622005651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364.86498923355146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194.87621507458604</v>
      </c>
      <c r="J228" s="76">
        <f t="shared" si="42"/>
        <v>194.87621507458604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2483.7480611197916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134581.98804169835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134581.98804169835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2.8868914370233689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47.802591859951448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47.802591859951448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152.80401032602109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5178.7995615227665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5178.7995615227665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1.6524321475879205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107.14448967092494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107.14448967092494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205.49611417992301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10628.386432976409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10628.386432976409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5.8888941708402527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39.897375785326126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39.897375785326126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104.15040162279546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2476.401067519967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2476.401067519967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331.37175670273564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3778.4700631410533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627.71500029664105</v>
      </c>
      <c r="J236" s="76">
        <f t="shared" si="42"/>
        <v>627.71500029664105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29.536008069292045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1178.4867219647524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1178.4867219647524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69.720451345171071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1356.9980530108905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1356.9980530108905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2578.6293093289264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49783.017445904261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49783.017445904261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1444.3365911503531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9497.0619347182073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3099.8172728371874</v>
      </c>
      <c r="J240" s="76">
        <f t="shared" si="42"/>
        <v>3099.8172728371874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83.163777657100411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256.16772104161322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76.050751154065466</v>
      </c>
      <c r="J241" s="76">
        <f t="shared" si="42"/>
        <v>76.050751154065466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107.69332622005651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364.86498923355146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194.87621507458604</v>
      </c>
      <c r="J242" s="76">
        <f t="shared" si="42"/>
        <v>194.87621507458604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2483.7480611197916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134581.98804169835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134581.98804169835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2.8868914370233689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47.802591859951448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47.802591859951448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152.80401032602109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5178.7995615227665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5178.7995615227665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1.6524321475879205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107.14448967092494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107.14448967092494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205.49611417992301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10628.386432976409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10628.386432976409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5.8888941708402527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39.897375785326126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39.897375785326126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104.15040162279546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2476.401067519967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2476.401067519967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331.37175670273564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3778.4700631410533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627.71500029664105</v>
      </c>
      <c r="J250" s="76">
        <f t="shared" si="42"/>
        <v>627.71500029664105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29.536008069292045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1178.4867219647524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1178.4867219647524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69.720451345171071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1356.9980530108905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1356.9980530108905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2578.6293093289264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49783.017445904261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49783.017445904261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289324.40705334052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2028164.0934439169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661987.68968986103</v>
      </c>
      <c r="J268" s="76">
        <f t="shared" si="42"/>
        <v>661987.68968986103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6305.778237432175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24340.303996488197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7226.118867452964</v>
      </c>
      <c r="J269" s="76">
        <f t="shared" si="42"/>
        <v>7226.118867452964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40000.111452135221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176000.49038939498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94002.741919427819</v>
      </c>
      <c r="J270" s="76">
        <f t="shared" si="42"/>
        <v>94002.741919427819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24301.063764662133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1205818.784002535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1205818.784002535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3807.9830483618994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79015.648253509426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79015.648253509426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2442.8304745575424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103749.20750938304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103749.20750938304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25394.708101233733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2063414.7895987527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2063414.7895987527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7182.5684723440072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319696.12270403182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319696.12270403182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1671.2488811855812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14188.903001265586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14188.903001265586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11933.527586925724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355570.7138334217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355570.7138334217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36921.98237863728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527573.06517282699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87645.401770409182</v>
      </c>
      <c r="J278" s="76">
        <f t="shared" si="55"/>
        <v>87645.401770409182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2618.8374863482281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130941.87431741141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130941.87431741141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1244.8278589023382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30361.655095178983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30361.655095178983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31005.186770121774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427561.52555997932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427561.52555997932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289324.40705334052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2028164.0934439169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661987.68968986103</v>
      </c>
      <c r="J282" s="76">
        <f t="shared" si="55"/>
        <v>661987.68968986103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6305.778237432175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24340.303996488197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7226.118867452964</v>
      </c>
      <c r="J283" s="76">
        <f t="shared" si="55"/>
        <v>7226.118867452964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40000.111452135221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176000.49038939498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94002.741919427819</v>
      </c>
      <c r="J284" s="76">
        <f t="shared" si="55"/>
        <v>94002.741919427819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24301.063764662133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1205818.784002535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1205818.784002535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3807.9830483618994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79015.648253509426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79015.648253509426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2442.8304745575424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103749.20750938304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103749.20750938304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25394.708101233733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2063414.7895987527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2063414.7895987527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7182.5684723440072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319696.12270403182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319696.12270403182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1671.2488811855812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14188.903001265586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14188.903001265586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11933.527586925724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355570.7138334217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355570.7138334217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36921.98237863728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527573.06517282699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87645.401770409182</v>
      </c>
      <c r="J292" s="76">
        <f t="shared" si="55"/>
        <v>87645.401770409182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2618.8374863482281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130941.87431741141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130941.87431741141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1244.8278589023382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30361.655095178983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30361.655095178983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31005.186770121774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427561.52555997932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427561.52555997932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36993.456805099093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173747.16857650894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56710.641455451077</v>
      </c>
      <c r="J310" s="76">
        <f t="shared" si="55"/>
        <v>56710.641455451077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806.26635417583145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1773.9472324576645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526.64722544869528</v>
      </c>
      <c r="J311" s="76">
        <f t="shared" si="55"/>
        <v>526.64722544869528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5114.4748217902852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12377.029068732492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6610.6331107553679</v>
      </c>
      <c r="J312" s="76">
        <f t="shared" si="55"/>
        <v>6610.6331107553679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3107.1708116565819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120258.69622603169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120258.69622603169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486.89447893054626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5758.7444495510354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5758.7444495510354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312.34400361551104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7561.3525433987998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7561.3525433987998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3247.0058326185153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150383.86356838598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150383.86356838598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918.37408132089615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33927.769198462265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33927.769198462265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213.68841269347433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1034.1023355475306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1034.1023355475306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1525.8389080116776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25914.371646253916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25914.371646253916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4720.9005772918872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38450.085874752127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6387.6900605140245</v>
      </c>
      <c r="J320" s="76">
        <f t="shared" si="55"/>
        <v>6387.6900605140245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334.84852666763254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9543.1830100275256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9543.1830100275256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159.16557506189815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2212.7897020800478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2212.7897020800478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3964.3701310794295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54668.66410758534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54668.66410758534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36993.456805099093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173747.16857650894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56710.641455451077</v>
      </c>
      <c r="J324" s="76">
        <f t="shared" si="55"/>
        <v>56710.641455451077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806.26635417583145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1773.9472324576645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526.64722544869528</v>
      </c>
      <c r="J325" s="76">
        <f t="shared" si="55"/>
        <v>526.64722544869528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5114.4748217902852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12377.029068732492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6610.6331107553679</v>
      </c>
      <c r="J326" s="76">
        <f t="shared" si="55"/>
        <v>6610.6331107553679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3107.1708116565819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120258.69622603169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120258.69622603169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486.89447893054626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5758.7444495510354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5758.7444495510354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312.34400361551104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7561.3525433987998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7561.3525433987998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3247.0058326185153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150383.86356838598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150383.86356838598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918.37408132089615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33927.769198462265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33927.769198462265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213.68841269347433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1034.1023355475306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1034.1023355475306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1525.8389080116776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25914.371646253916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25914.371646253916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4720.9005772918872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38450.085874752127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6387.6900605140245</v>
      </c>
      <c r="J334" s="76">
        <f t="shared" si="55"/>
        <v>6387.6900605140245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334.84852666763254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9543.1830100275256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9543.1830100275256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159.16557506189815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2212.7897020800478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2212.7897020800478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3964.3701310794295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54668.66410758534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54668.66410758534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4510.1573367949441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37939.443517119063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12383.339515378873</v>
      </c>
      <c r="J352" s="76">
        <f t="shared" si="60"/>
        <v>12383.339515378873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121.9618637911824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564.9273530807568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167.71492276456786</v>
      </c>
      <c r="J353" s="76">
        <f t="shared" si="60"/>
        <v>167.71492276456786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492.62301992250912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2601.0495451908482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1389.2335673341581</v>
      </c>
      <c r="J354" s="76">
        <f t="shared" si="60"/>
        <v>1389.2335673341581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1448.5180893537304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86250.561112478536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86250.561112478536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27.433363911016176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683.09076138430282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683.09076138430282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46.639229416205815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2376.9720287230734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2376.9720287230734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130.30019458265281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12704.852405515734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12704.852405515734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138.92011496610823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7420.0011805697723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7420.0011805697723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29.967924514622464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305.31321495497372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305.31321495497372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213.98551582841313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7651.0804094322048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7651.0804094322048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1553.5246973467163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26637.717704186129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4425.3083118739623</v>
      </c>
      <c r="J362" s="76">
        <f t="shared" si="60"/>
        <v>4425.3083118739623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46.959567177853828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2817.57403067123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2817.57403067123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99.665740475516856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2917.0460626980544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2917.0460626980544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2888.4585009987431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47798.21127452721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47798.21127452721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4510.1573367949441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37939.443517119063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12383.339515378873</v>
      </c>
      <c r="J366" s="76">
        <f t="shared" si="60"/>
        <v>12383.339515378873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121.9618637911824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564.9273530807568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167.71492276456786</v>
      </c>
      <c r="J367" s="76">
        <f t="shared" si="60"/>
        <v>167.71492276456786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492.62301992250912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2601.0495451908482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1389.2335673341581</v>
      </c>
      <c r="J368" s="76">
        <f t="shared" si="60"/>
        <v>1389.2335673341581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1448.5180893537304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86250.561112478536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86250.561112478536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27.433363911016176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683.09076138430282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683.09076138430282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46.639229416205815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2376.9720287230734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2376.9720287230734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130.30019458265281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12704.852405515734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12704.852405515734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138.92011496610823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7420.0011805697723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7420.0011805697723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29.967924514622464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305.31321495497372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305.31321495497372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213.98551582841313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7651.0804094322048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7651.0804094322048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1553.5246973467163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26637.717704186129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4425.3083118739623</v>
      </c>
      <c r="J376" s="76">
        <f t="shared" si="60"/>
        <v>4425.3083118739623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46.959567177853828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2817.57403067123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2817.57403067123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99.665740475516856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2917.0460626980544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2917.0460626980544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2888.4585009987431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47798.21127452721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47798.21127452721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576.67554674073642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3250.16644845266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1060.8462033588273</v>
      </c>
      <c r="J394" s="76">
        <f t="shared" si="60"/>
        <v>1060.8462033588273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15.594228589213635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41.172506090385411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12.223241875819697</v>
      </c>
      <c r="J395" s="76">
        <f t="shared" si="60"/>
        <v>12.223241875819697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62.987525298344515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182.91577346639249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97.696229187267562</v>
      </c>
      <c r="J396" s="76">
        <f t="shared" si="60"/>
        <v>97.696229187267562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185.20971637222684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8601.9393343009415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8601.9393343009415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3.5076714515607392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49.784380912001566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49.784380912001566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5.9633624981850497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173.23624851156123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173.23624851156123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16.660380190810177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925.94315037312072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925.94315037312072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17.762536264044471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787.44804715616885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787.44804715616885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3.8317442083818705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22.251551697146866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22.251551697146866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27.360512088618318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557.6188744225035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557.6188744225035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198.63602028001407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1941.3851859511396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322.521174499437</v>
      </c>
      <c r="J404" s="76">
        <f t="shared" si="60"/>
        <v>322.521174499437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6.0043213694716444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205.34779083593023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205.34779083593023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12.743412499414573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212.59741828291627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212.59741828291627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369.32267788357871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6111.5516736174613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6111.5516736174613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576.67554674073642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3250.16644845266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1060.8462033588273</v>
      </c>
      <c r="J408" s="76">
        <f t="shared" si="64"/>
        <v>1060.8462033588273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15.594228589213635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41.172506090385411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12.223241875819697</v>
      </c>
      <c r="J409" s="76">
        <f t="shared" si="64"/>
        <v>12.223241875819697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62.987525298344515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182.91577346639249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97.696229187267562</v>
      </c>
      <c r="J410" s="76">
        <f t="shared" si="64"/>
        <v>97.696229187267562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185.20971637222684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8601.9393343009415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8601.9393343009415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3.5076714515607392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49.784380912001566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49.784380912001566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5.9633624981850497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173.23624851156123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173.23624851156123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16.660380190810177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925.94315037312072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925.94315037312072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17.762536264044471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787.44804715616885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787.44804715616885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3.8317442083818705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22.251551697146866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22.251551697146866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27.360512088618318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557.6188744225035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557.6188744225035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198.63602028001407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1941.3851859511396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322.521174499437</v>
      </c>
      <c r="J418" s="76">
        <f t="shared" si="64"/>
        <v>322.521174499437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6.0043213694716444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205.34779083593023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205.34779083593023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12.743412499414573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212.59741828291627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212.59741828291627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369.32267788357871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6111.5516736174613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6111.5516736174613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2454.353989887808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24087.030056758944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7861.9463929509793</v>
      </c>
      <c r="J436" s="76">
        <f t="shared" si="64"/>
        <v>7861.9463929509793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44.579161926919546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240.90579105307322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71.51980855532689</v>
      </c>
      <c r="J437" s="76">
        <f t="shared" si="64"/>
        <v>71.51980855532689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217.75877487690997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1341.3940532417655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716.44527080669332</v>
      </c>
      <c r="J438" s="76">
        <f t="shared" si="64"/>
        <v>716.44527080669332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1600.2190566248526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111164.01742561525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111164.01742561525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7.5315892702184639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218.79266829984635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218.79266829984635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42.929160380126916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2552.5360768242867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2552.5360768242867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49.436602825522812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5623.6718223135022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5623.6718223135022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50.77769482584894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3164.1612753779514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3164.1612753779514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18.425979993464644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219.01119820232077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219.01119820232077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131.57043396921489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5488.3713050519964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5488.3713050519964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1231.2594774737624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24630.613325401333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4091.8692466781049</v>
      </c>
      <c r="J446" s="76">
        <f t="shared" si="64"/>
        <v>4091.8692466781049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28.873405794208168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2021.1384055945719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2021.1384055945719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88.075992959070447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3007.4729303097229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3007.4729303097229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3062.9609623912415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59133.524339925316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59133.524339925316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2454.353989887808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24087.030056758944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7861.9463929509793</v>
      </c>
      <c r="J450" s="76">
        <f t="shared" si="64"/>
        <v>7861.9463929509793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44.579161926919546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240.90579105307322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71.51980855532689</v>
      </c>
      <c r="J451" s="76">
        <f t="shared" si="64"/>
        <v>71.51980855532689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217.75877487690997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1341.3940532417655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716.44527080669332</v>
      </c>
      <c r="J452" s="76">
        <f t="shared" si="64"/>
        <v>716.44527080669332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1600.2190566248526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111164.01742561525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111164.01742561525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7.5315892702184639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218.79266829984635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218.79266829984635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42.929160380126916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2552.5360768242867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2552.5360768242867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49.436602825522812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5623.6718223135022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5623.6718223135022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50.77769482584894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3164.1612753779514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3164.1612753779514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18.425979993464644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219.01119820232077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219.01119820232077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131.57043396921489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5488.3713050519964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5488.3713050519964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1231.2594774737624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24630.613325401333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4091.8692466781049</v>
      </c>
      <c r="J460" s="76">
        <f t="shared" si="64"/>
        <v>4091.8692466781049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28.873405794208168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2021.1384055945719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2021.1384055945719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88.075992959070447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3007.4729303097229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3007.4729303097229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3062.9609623912415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59133.524339925316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59133.524339925316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313.81741773551124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2063.4687722297258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673.51104858385213</v>
      </c>
      <c r="J478" s="76">
        <f t="shared" si="68"/>
        <v>673.51104858385213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5.699959149478107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17.557470168954421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5.2124396832072923</v>
      </c>
      <c r="J479" s="76">
        <f t="shared" si="68"/>
        <v>5.2124396832072923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27.842966704344128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94.331971194317916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50.383177474741174</v>
      </c>
      <c r="J480" s="76">
        <f t="shared" si="68"/>
        <v>50.383177474741174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204.60643176582781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11086.60768948865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11086.60768948865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0.96300040905365991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15.945842273315026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15.945842273315026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5.4889874531346097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186.03154298664859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186.03154298664859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6.3210388983175223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409.85918117056099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409.85918117056099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6.4925129522730947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335.79679524959488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335.79679524959488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2.3559737041271651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15.961768964935624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15.961768964935624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16.822794922278913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399.99833562891263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399.99833562891263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157.43070126606042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1795.1052849888247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298.21978093496858</v>
      </c>
      <c r="J488" s="76">
        <f t="shared" ref="J488:J505" si="70">IF(I488&lt;&gt;0,I488,H488)</f>
        <v>298.21978093496858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3.6917973873777457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147.30271575637204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147.30271575637204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11.261529831794967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219.18782453103373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219.18782453103373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391.63482684347179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7560.9019670400667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7560.9019670400667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313.81741773551124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2063.4687722297258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673.51104858385213</v>
      </c>
      <c r="J492" s="76">
        <f t="shared" si="70"/>
        <v>673.51104858385213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5.699959149478107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17.557470168954421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5.2124396832072923</v>
      </c>
      <c r="J493" s="76">
        <f t="shared" si="70"/>
        <v>5.2124396832072923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27.842966704344128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94.331971194317916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50.383177474741174</v>
      </c>
      <c r="J494" s="76">
        <f t="shared" si="70"/>
        <v>50.383177474741174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204.60643176582781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11086.60768948865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11086.60768948865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0.96300040905365991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15.945842273315026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15.945842273315026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5.4889874531346097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186.03154298664859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186.03154298664859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6.3210388983175223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409.85918117056099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409.85918117056099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6.4925129522730947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335.79679524959488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335.79679524959488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2.3559737041271651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15.961768964935624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15.961768964935624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16.822794922278913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399.99833562891263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399.99833562891263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157.43070126606042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1795.1052849888247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298.21978093496858</v>
      </c>
      <c r="J502" s="76">
        <f t="shared" si="70"/>
        <v>298.21978093496858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3.6917973873777457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147.30271575637204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147.30271575637204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11.261529831794967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219.18782453103373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219.18782453103373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391.63482684347179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7560.9019670400667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7560.9019670400667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2021-12-07T12:57:46Z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