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AA981D52-B5F3-4896-8277-D341AB5D96FD}" xr6:coauthVersionLast="47" xr6:coauthVersionMax="47" xr10:uidLastSave="{00000000-0000-0000-0000-000000000000}"/>
  <bookViews>
    <workbookView xWindow="-120" yWindow="-120" windowWidth="29040" windowHeight="15840" tabRatio="945" firstSheet="1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state="hidden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6" r:id="rId38"/>
    <pivotCache cacheId="17" r:id="rId39"/>
    <pivotCache cacheId="18" r:id="rId40"/>
    <pivotCache cacheId="19" r:id="rId41"/>
    <pivotCache cacheId="20" r:id="rId42"/>
    <pivotCache cacheId="21" r:id="rId43"/>
    <pivotCache cacheId="22" r:id="rId44"/>
    <pivotCache cacheId="23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63" l="1"/>
  <c r="C61" i="63"/>
  <c r="C60" i="63"/>
  <c r="C57" i="63"/>
  <c r="C56" i="63"/>
  <c r="C55" i="63"/>
  <c r="C54" i="63"/>
  <c r="C53" i="63"/>
  <c r="C51" i="63"/>
  <c r="C50" i="63"/>
  <c r="C47" i="63"/>
  <c r="C46" i="63"/>
  <c r="C45" i="63"/>
  <c r="C44" i="63"/>
  <c r="C43" i="63"/>
  <c r="C41" i="63"/>
  <c r="C40" i="63"/>
  <c r="C37" i="63"/>
  <c r="C36" i="63"/>
  <c r="C35" i="63"/>
  <c r="C34" i="63"/>
  <c r="C33" i="63"/>
  <c r="C31" i="63"/>
  <c r="C30" i="63"/>
  <c r="C27" i="63"/>
  <c r="C26" i="63"/>
  <c r="C25" i="63"/>
  <c r="C24" i="63"/>
  <c r="C23" i="63"/>
  <c r="C21" i="63"/>
  <c r="C20" i="63"/>
  <c r="C17" i="63"/>
  <c r="C16" i="63"/>
  <c r="C15" i="63"/>
  <c r="C14" i="63"/>
  <c r="C13" i="63"/>
  <c r="C11" i="63"/>
  <c r="C10" i="63"/>
  <c r="C9" i="63"/>
  <c r="C8" i="63"/>
  <c r="C7" i="63"/>
  <c r="C6" i="63"/>
  <c r="C5" i="63"/>
  <c r="C4" i="63"/>
  <c r="C3" i="63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7" i="70"/>
  <c r="Q38" i="70"/>
  <c r="Q36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D2" i="72" l="1" a="1"/>
  <c r="D2" i="72" s="1"/>
  <c r="D188" i="72" a="1"/>
  <c r="D188" i="72" s="1"/>
  <c r="D4" i="72" a="1"/>
  <c r="D4" i="72" s="1"/>
  <c r="D6" i="72" s="1" a="1"/>
  <c r="D6" i="72" s="1"/>
  <c r="D126" i="72" a="1"/>
  <c r="D126" i="72" s="1"/>
  <c r="D64" i="72" a="1"/>
  <c r="D64" i="72" s="1"/>
  <c r="D250" i="72" a="1"/>
  <c r="D250" i="72" s="1"/>
  <c r="D251" i="72" a="1"/>
  <c r="D251" i="72" s="1"/>
  <c r="D252" i="72" s="1" a="1"/>
  <c r="D252" i="72" s="1"/>
  <c r="D3" i="72" a="1"/>
  <c r="D3" i="72" s="1"/>
  <c r="D5" i="72" s="1" a="1"/>
  <c r="D5" i="72" s="1"/>
  <c r="D189" i="72" a="1"/>
  <c r="D189" i="72" s="1"/>
  <c r="D190" i="72" a="1"/>
  <c r="D190" i="72" s="1"/>
  <c r="D127" i="72" a="1"/>
  <c r="D127" i="72" s="1"/>
  <c r="D128" i="72" s="1" a="1"/>
  <c r="D128" i="72" s="1"/>
  <c r="D65" i="72" a="1"/>
  <c r="D65" i="72" s="1"/>
  <c r="D66" i="72" a="1"/>
  <c r="D66" i="72" s="1"/>
  <c r="D219" i="72" a="1"/>
  <c r="D219" i="72" s="1"/>
  <c r="D157" i="72" a="1"/>
  <c r="D157" i="72" s="1"/>
  <c r="D281" i="72" a="1"/>
  <c r="D281" i="72" s="1"/>
  <c r="D96" i="72" a="1"/>
  <c r="D96" i="72" s="1"/>
  <c r="D95" i="72" a="1"/>
  <c r="D95" i="72" s="1"/>
  <c r="D33" i="72" a="1"/>
  <c r="D33" i="72" s="1"/>
  <c r="D35" i="72" a="1"/>
  <c r="D35" i="72" s="1"/>
  <c r="D36" i="72" s="1" a="1"/>
  <c r="D36" i="72" s="1"/>
  <c r="D34" i="72" a="1"/>
  <c r="D34" i="72" s="1"/>
  <c r="D220" i="72" a="1"/>
  <c r="D220" i="72" s="1"/>
  <c r="D283" i="72" a="1"/>
  <c r="D283" i="72" s="1"/>
  <c r="D282" i="72" a="1"/>
  <c r="D282" i="72" s="1"/>
  <c r="D158" i="72" a="1"/>
  <c r="D158" i="72" s="1"/>
  <c r="D221" i="72" a="1"/>
  <c r="D221" i="72" s="1"/>
  <c r="D222" i="72" s="1" a="1"/>
  <c r="D222" i="72" s="1"/>
  <c r="D24" i="20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D129" i="72" l="1" a="1"/>
  <c r="D129" i="72" s="1"/>
  <c r="D7" i="72" a="1"/>
  <c r="D7" i="72" s="1"/>
  <c r="D8" i="72" s="1" a="1"/>
  <c r="D8" i="72" s="1"/>
  <c r="D37" i="72" a="1"/>
  <c r="D37" i="72" s="1"/>
  <c r="D223" i="72" a="1"/>
  <c r="D223" i="72" s="1"/>
  <c r="D226" i="72" s="1" a="1"/>
  <c r="D226" i="72" s="1"/>
  <c r="D224" i="72" a="1"/>
  <c r="D224" i="72" s="1"/>
  <c r="D225" i="72" a="1"/>
  <c r="D225" i="72" s="1"/>
  <c r="D38" i="72" a="1"/>
  <c r="D38" i="72" s="1"/>
  <c r="D253" i="72" a="1"/>
  <c r="D253" i="72" s="1"/>
  <c r="D255" i="72" s="1" a="1"/>
  <c r="D255" i="72" s="1"/>
  <c r="D67" i="72" a="1"/>
  <c r="D67" i="72" s="1"/>
  <c r="D98" i="72" a="1"/>
  <c r="D98" i="72" s="1"/>
  <c r="D159" i="72" a="1"/>
  <c r="D159" i="72" s="1"/>
  <c r="D160" i="72" s="1" a="1"/>
  <c r="D160" i="72" s="1"/>
  <c r="D161" i="72" s="1" a="1"/>
  <c r="D161" i="72" s="1"/>
  <c r="D254" i="72" a="1"/>
  <c r="D254" i="72" s="1"/>
  <c r="D284" i="72" a="1"/>
  <c r="D284" i="72" s="1"/>
  <c r="D99" i="72" a="1"/>
  <c r="D99" i="72" s="1"/>
  <c r="D97" i="72" a="1"/>
  <c r="D97" i="72" s="1"/>
  <c r="D191" i="72" a="1"/>
  <c r="D191" i="72" s="1"/>
  <c r="H14" i="41"/>
  <c r="AL126" i="72"/>
  <c r="C49" i="26"/>
  <c r="H185" i="35"/>
  <c r="I14" i="37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D256" i="72" l="1" a="1"/>
  <c r="D256" i="72" s="1"/>
  <c r="D285" i="72" a="1"/>
  <c r="D285" i="72" s="1"/>
  <c r="D100" i="72" a="1"/>
  <c r="D100" i="72" s="1"/>
  <c r="D162" i="72" a="1"/>
  <c r="D162" i="72" s="1"/>
  <c r="D163" i="72" s="1" a="1"/>
  <c r="D163" i="72" s="1"/>
  <c r="D227" i="72" a="1"/>
  <c r="D227" i="72" s="1"/>
  <c r="D228" i="72" s="1" a="1"/>
  <c r="D228" i="72" s="1"/>
  <c r="D68" i="72" a="1"/>
  <c r="D68" i="72" s="1"/>
  <c r="D9" i="72" a="1"/>
  <c r="D9" i="72" s="1"/>
  <c r="D10" i="72" s="1" a="1"/>
  <c r="D10" i="72" s="1"/>
  <c r="D101" i="72" a="1"/>
  <c r="D101" i="72" s="1"/>
  <c r="D69" i="72" a="1"/>
  <c r="D69" i="72" s="1"/>
  <c r="D70" i="72" s="1" a="1"/>
  <c r="D70" i="72" s="1"/>
  <c r="D39" i="72" a="1"/>
  <c r="D39" i="72" s="1"/>
  <c r="D130" i="72" a="1"/>
  <c r="D130" i="72" s="1"/>
  <c r="D286" i="72" a="1"/>
  <c r="D286" i="72" s="1"/>
  <c r="D132" i="72" a="1"/>
  <c r="D132" i="72" s="1"/>
  <c r="D133" i="72" s="1" a="1"/>
  <c r="D133" i="72" s="1"/>
  <c r="D192" i="72" a="1"/>
  <c r="D192" i="72" s="1"/>
  <c r="D131" i="72" a="1"/>
  <c r="D131" i="72" s="1"/>
  <c r="D134" i="72" s="1" a="1"/>
  <c r="D134" i="72" s="1"/>
  <c r="D102" i="72" a="1"/>
  <c r="D102" i="72" s="1"/>
  <c r="D257" i="72" a="1"/>
  <c r="D257" i="72" s="1"/>
  <c r="D258" i="72" s="1" a="1"/>
  <c r="D258" i="72" s="1"/>
  <c r="D193" i="72" a="1"/>
  <c r="D193" i="72" s="1"/>
  <c r="I14" i="41"/>
  <c r="I49" i="26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5" i="72" l="1" a="1"/>
  <c r="D135" i="72" s="1"/>
  <c r="D136" i="72" s="1" a="1"/>
  <c r="D136" i="72" s="1"/>
  <c r="D137" i="72" s="1" a="1"/>
  <c r="D137" i="72" s="1"/>
  <c r="D71" i="72" a="1"/>
  <c r="D71" i="72" s="1"/>
  <c r="D72" i="72" s="1" a="1"/>
  <c r="D72" i="72" s="1"/>
  <c r="D73" i="72" s="1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260" i="72" a="1"/>
  <c r="D260" i="72" s="1"/>
  <c r="D259" i="72" a="1"/>
  <c r="D259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165" i="72" a="1"/>
  <c r="D165" i="72" s="1"/>
  <c r="D164" i="72" a="1"/>
  <c r="D164" i="72" s="1"/>
  <c r="D40" i="72" a="1"/>
  <c r="D40" i="72" s="1"/>
  <c r="D104" i="72" a="1"/>
  <c r="D104" i="72" s="1"/>
  <c r="D105" i="72" s="1" a="1"/>
  <c r="D105" i="72" s="1"/>
  <c r="D229" i="72" a="1"/>
  <c r="D229" i="72" s="1"/>
  <c r="D103" i="72" a="1"/>
  <c r="D103" i="72" s="1"/>
  <c r="D41" i="72" a="1"/>
  <c r="D41" i="72" s="1"/>
  <c r="D11" i="72" a="1"/>
  <c r="D11" i="72" s="1"/>
  <c r="D12" i="72" a="1"/>
  <c r="D12" i="72" s="1"/>
  <c r="D166" i="72" a="1"/>
  <c r="D166" i="72" s="1"/>
  <c r="D167" i="72" s="1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8" i="72" a="1"/>
  <c r="D288" i="72" s="1"/>
  <c r="D42" i="72" a="1"/>
  <c r="D42" i="72" s="1"/>
  <c r="D287" i="72" a="1"/>
  <c r="D287" i="72" s="1"/>
  <c r="D289" i="72" s="1" a="1"/>
  <c r="D289" i="72" s="1"/>
  <c r="D194" i="72" a="1"/>
  <c r="D194" i="72" s="1"/>
  <c r="Z5" i="20"/>
  <c r="P28" i="18"/>
  <c r="P26" i="18"/>
  <c r="Z3" i="20"/>
  <c r="Z4" i="20"/>
  <c r="C265" i="38"/>
  <c r="C268" i="38"/>
  <c r="A32" i="53"/>
  <c r="A36" i="53"/>
  <c r="C275" i="38"/>
  <c r="L16" i="66" s="1"/>
  <c r="D106" i="72" l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13" i="72" a="1"/>
  <c r="D13" i="72" s="1"/>
  <c r="D14" i="72" s="1" a="1"/>
  <c r="D14" i="72" s="1"/>
  <c r="D43" i="72" a="1"/>
  <c r="D43" i="72" s="1"/>
  <c r="D44" i="72" a="1"/>
  <c r="D44" i="72" s="1"/>
  <c r="D45" i="72" s="1" a="1"/>
  <c r="D45" i="72" s="1"/>
  <c r="D195" i="72" a="1"/>
  <c r="D195" i="72" s="1"/>
  <c r="D196" i="72" s="1" a="1"/>
  <c r="D196" i="72" s="1"/>
  <c r="D197" i="72" s="1" a="1"/>
  <c r="D197" i="72" s="1"/>
  <c r="D198" i="72" s="1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230" i="72" a="1"/>
  <c r="D230" i="72" s="1"/>
  <c r="D231" i="72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138" i="72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10" i="53"/>
  <c r="D11" i="53"/>
  <c r="D34" i="53"/>
  <c r="D9" i="53"/>
  <c r="D23" i="53"/>
  <c r="D22" i="53"/>
  <c r="D35" i="53"/>
  <c r="D33" i="53"/>
  <c r="D21" i="53"/>
  <c r="D15" i="72" l="1" a="1"/>
  <c r="D15" i="72" s="1"/>
  <c r="D16" i="72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E3" i="34" l="1"/>
  <c r="E18" i="34" s="1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J122" i="58" s="1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J120" i="58" l="1"/>
  <c r="J118" i="58"/>
  <c r="J117" i="58"/>
  <c r="J119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H98" i="41"/>
  <c r="J124" i="41"/>
  <c r="O5" i="41" s="1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F285" i="66"/>
  <c r="M39" i="39"/>
  <c r="E171" i="38" s="1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J75" i="66"/>
  <c r="P59" i="66"/>
  <c r="S59" i="66"/>
  <c r="J461" i="37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R7" i="9" l="1"/>
  <c r="E32" i="22"/>
  <c r="R40" i="9"/>
  <c r="O40" i="9"/>
  <c r="O30" i="9"/>
  <c r="E39" i="22"/>
  <c r="P9" i="9"/>
  <c r="K42" i="39"/>
  <c r="E140" i="38" s="1"/>
  <c r="C42" i="39"/>
  <c r="E89" i="38" s="1"/>
  <c r="P15" i="39"/>
  <c r="O15" i="39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0" i="9" l="1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O10" i="20" l="1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R7" i="20" l="1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Q44" i="66" l="1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I70" i="18" l="1"/>
  <c r="H16" i="18"/>
  <c r="I69" i="18"/>
  <c r="J69" i="18" s="1"/>
  <c r="H61" i="18"/>
  <c r="J61" i="18" s="1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68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F69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I156" i="58"/>
  <c r="H160" i="58"/>
  <c r="H156" i="58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I240" i="41"/>
  <c r="I152" i="58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H152" i="41"/>
  <c r="J152" i="41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Q123" i="66"/>
  <c r="R123" i="66" s="1"/>
  <c r="T123" i="66" s="1"/>
  <c r="E9" i="53"/>
  <c r="F9" i="53" s="1"/>
  <c r="F184" i="66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I148" i="41"/>
  <c r="I464" i="58" l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H457" i="37"/>
  <c r="G21" i="53"/>
  <c r="Y182" i="66"/>
  <c r="H495" i="58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I495" i="41"/>
  <c r="T160" i="66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M67" i="66" s="1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F20" i="39" l="1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37" i="66" l="1"/>
  <c r="X200" i="66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65" i="72" l="1"/>
  <c r="G96" i="72"/>
  <c r="G127" i="72"/>
  <c r="G158" i="72"/>
  <c r="I4" i="58"/>
  <c r="I4" i="37"/>
  <c r="J4" i="58"/>
  <c r="J4" i="37"/>
  <c r="G189" i="72"/>
  <c r="G220" i="72"/>
  <c r="G251" i="72"/>
  <c r="G282" i="72"/>
  <c r="G3" i="72"/>
  <c r="G34" i="72"/>
  <c r="H283" i="72" l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E251" i="72"/>
  <c r="F251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20" i="72"/>
  <c r="F220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189" i="72"/>
  <c r="F189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F101" i="66"/>
  <c r="E31" i="53"/>
  <c r="J4" i="41"/>
  <c r="E45" i="39" s="1"/>
  <c r="O4" i="58"/>
  <c r="F245" i="66"/>
  <c r="E37" i="53"/>
  <c r="H4" i="37"/>
  <c r="H4" i="58"/>
  <c r="E19" i="53"/>
  <c r="I4" i="41"/>
  <c r="D45" i="39" s="1"/>
  <c r="F53" i="66"/>
  <c r="F197" i="66"/>
  <c r="E25" i="53"/>
  <c r="N4" i="58"/>
  <c r="E158" i="72"/>
  <c r="F158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27" i="72"/>
  <c r="F127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34" i="72"/>
  <c r="F34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96" i="72"/>
  <c r="F96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E65" i="72"/>
  <c r="F65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L45" i="39" l="1"/>
  <c r="L56" i="39" s="1"/>
  <c r="M45" i="39"/>
  <c r="M56" i="39" s="1"/>
  <c r="E158" i="38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124" i="38"/>
  <c r="E56" i="39"/>
  <c r="E59" i="39"/>
  <c r="E60" i="39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107" i="38"/>
  <c r="D56" i="39"/>
  <c r="D59" i="39"/>
  <c r="D60" i="39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F149" i="66"/>
  <c r="E13" i="53"/>
  <c r="M4" i="58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F5" i="66"/>
  <c r="E7" i="53"/>
  <c r="H4" i="41"/>
  <c r="K45" i="39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L59" i="39" l="1"/>
  <c r="L60" i="39" s="1"/>
  <c r="E175" i="38"/>
  <c r="J466" i="58" s="1"/>
  <c r="M59" i="39"/>
  <c r="M60" i="39" s="1"/>
  <c r="E159" i="72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252" i="72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E35" i="72"/>
  <c r="F35" i="72" s="1"/>
  <c r="G36" i="72" s="1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C45" i="39"/>
  <c r="E4" i="72"/>
  <c r="F4" i="72" s="1"/>
  <c r="K59" i="39"/>
  <c r="K60" i="39" s="1"/>
  <c r="K56" i="39"/>
  <c r="E141" i="38"/>
  <c r="D58" i="39"/>
  <c r="D57" i="39"/>
  <c r="E283" i="72"/>
  <c r="F283" i="72" s="1"/>
  <c r="I474" i="37"/>
  <c r="J53" i="66"/>
  <c r="D19" i="53"/>
  <c r="F19" i="53" s="1"/>
  <c r="H25" i="53" s="1"/>
  <c r="I466" i="37"/>
  <c r="E57" i="39"/>
  <c r="E58" i="39"/>
  <c r="J101" i="66"/>
  <c r="J466" i="37"/>
  <c r="D31" i="53"/>
  <c r="F31" i="53" s="1"/>
  <c r="H37" i="53" s="1"/>
  <c r="J474" i="37"/>
  <c r="E66" i="72"/>
  <c r="F66" i="72" s="1"/>
  <c r="L58" i="39"/>
  <c r="L57" i="39"/>
  <c r="M58" i="39"/>
  <c r="M57" i="39"/>
  <c r="J197" i="66"/>
  <c r="D25" i="53"/>
  <c r="F25" i="53" s="1"/>
  <c r="I466" i="58"/>
  <c r="I474" i="58"/>
  <c r="J245" i="66" l="1"/>
  <c r="W245" i="66" s="1"/>
  <c r="J474" i="58"/>
  <c r="J474" i="41" s="1"/>
  <c r="D37" i="53"/>
  <c r="F37" i="53" s="1"/>
  <c r="G37" i="53" s="1"/>
  <c r="E253" i="72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J489" i="37"/>
  <c r="F102" i="66"/>
  <c r="J466" i="41"/>
  <c r="E98" i="72"/>
  <c r="F98" i="72" s="1"/>
  <c r="S101" i="66"/>
  <c r="W101" i="66"/>
  <c r="H474" i="58"/>
  <c r="J149" i="66"/>
  <c r="D13" i="53"/>
  <c r="F13" i="53" s="1"/>
  <c r="H7" i="53" s="1"/>
  <c r="H466" i="58"/>
  <c r="K58" i="39"/>
  <c r="K57" i="39"/>
  <c r="I489" i="37"/>
  <c r="F54" i="66"/>
  <c r="I466" i="41"/>
  <c r="E191" i="72"/>
  <c r="F191" i="72" s="1"/>
  <c r="I474" i="41"/>
  <c r="I479" i="58"/>
  <c r="F199" i="66"/>
  <c r="F198" i="66"/>
  <c r="I489" i="58"/>
  <c r="S53" i="66"/>
  <c r="W53" i="66"/>
  <c r="E160" i="72"/>
  <c r="F160" i="72" s="1"/>
  <c r="G25" i="53"/>
  <c r="H19" i="53"/>
  <c r="G19" i="53" s="1"/>
  <c r="F246" i="66"/>
  <c r="J489" i="58"/>
  <c r="I479" i="37"/>
  <c r="F55" i="66"/>
  <c r="S197" i="66"/>
  <c r="W197" i="66"/>
  <c r="E129" i="72"/>
  <c r="F129" i="72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36" i="72"/>
  <c r="F36" i="72" s="1"/>
  <c r="J479" i="37"/>
  <c r="F103" i="66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C56" i="39"/>
  <c r="C59" i="39"/>
  <c r="C60" i="39" s="1"/>
  <c r="E90" i="38"/>
  <c r="H31" i="53" l="1"/>
  <c r="G31" i="53" s="1"/>
  <c r="S245" i="66"/>
  <c r="F247" i="66"/>
  <c r="J479" i="58"/>
  <c r="J480" i="58" s="1"/>
  <c r="E385" i="38" s="1"/>
  <c r="K266" i="66" s="1"/>
  <c r="N266" i="66" s="1"/>
  <c r="J489" i="41"/>
  <c r="E284" i="72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S149" i="66"/>
  <c r="W149" i="66"/>
  <c r="D7" i="53"/>
  <c r="F7" i="53" s="1"/>
  <c r="H466" i="37"/>
  <c r="J5" i="66"/>
  <c r="H474" i="37"/>
  <c r="F151" i="66"/>
  <c r="H479" i="58"/>
  <c r="E366" i="38"/>
  <c r="K103" i="66" s="1"/>
  <c r="N103" i="66" s="1"/>
  <c r="J480" i="37"/>
  <c r="J479" i="41"/>
  <c r="I479" i="41"/>
  <c r="E378" i="38"/>
  <c r="K199" i="66" s="1"/>
  <c r="N199" i="66" s="1"/>
  <c r="I480" i="58"/>
  <c r="E379" i="38" s="1"/>
  <c r="K218" i="66" s="1"/>
  <c r="N218" i="66" s="1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223" i="72"/>
  <c r="F223" i="72" s="1"/>
  <c r="C57" i="39"/>
  <c r="C58" i="39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67" i="72"/>
  <c r="F67" i="72" s="1"/>
  <c r="I480" i="37"/>
  <c r="E360" i="38"/>
  <c r="K55" i="66" s="1"/>
  <c r="N55" i="66" s="1"/>
  <c r="L54" i="66"/>
  <c r="P54" i="66" s="1"/>
  <c r="E254" i="72"/>
  <c r="F254" i="72" s="1"/>
  <c r="I489" i="41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L246" i="66"/>
  <c r="P246" i="66" s="1"/>
  <c r="L198" i="66"/>
  <c r="P198" i="66" s="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E349" i="38"/>
  <c r="M245" i="66" s="1"/>
  <c r="E343" i="38"/>
  <c r="E313" i="38"/>
  <c r="E307" i="38"/>
  <c r="E337" i="38"/>
  <c r="E331" i="38"/>
  <c r="E325" i="38"/>
  <c r="M197" i="66" s="1"/>
  <c r="E319" i="38"/>
  <c r="H489" i="58"/>
  <c r="F150" i="66"/>
  <c r="L102" i="66"/>
  <c r="P102" i="66" s="1"/>
  <c r="E5" i="72"/>
  <c r="F5" i="72" s="1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384" i="38" l="1"/>
  <c r="K247" i="66" s="1"/>
  <c r="N247" i="66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Z247" i="66"/>
  <c r="N102" i="66"/>
  <c r="N246" i="66"/>
  <c r="E37" i="72"/>
  <c r="F37" i="72" s="1"/>
  <c r="G38" i="72" s="1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161" i="72"/>
  <c r="F161" i="72" s="1"/>
  <c r="M53" i="66"/>
  <c r="F18" i="39" s="1"/>
  <c r="C20" i="8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L245" i="66"/>
  <c r="J486" i="58"/>
  <c r="N54" i="66"/>
  <c r="H480" i="58"/>
  <c r="E373" i="38" s="1"/>
  <c r="K170" i="66" s="1"/>
  <c r="N170" i="66" s="1"/>
  <c r="E372" i="38"/>
  <c r="K151" i="66" s="1"/>
  <c r="N151" i="66" s="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Z55" i="66"/>
  <c r="Z199" i="66"/>
  <c r="Y199" i="66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H479" i="37"/>
  <c r="H474" i="41"/>
  <c r="F7" i="66"/>
  <c r="E361" i="38"/>
  <c r="K74" i="66" s="1"/>
  <c r="N74" i="66" s="1"/>
  <c r="I480" i="41"/>
  <c r="W5" i="66"/>
  <c r="S5" i="66"/>
  <c r="L150" i="66"/>
  <c r="P150" i="66" s="1"/>
  <c r="V150" i="66" s="1"/>
  <c r="X150" i="66" s="1"/>
  <c r="N198" i="66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H489" i="37"/>
  <c r="H489" i="41" s="1"/>
  <c r="F6" i="66"/>
  <c r="H466" i="41"/>
  <c r="G7" i="53"/>
  <c r="H13" i="53"/>
  <c r="G13" i="53" s="1"/>
  <c r="L197" i="66"/>
  <c r="I486" i="58"/>
  <c r="Y55" i="66"/>
  <c r="E192" i="72"/>
  <c r="F192" i="72" s="1"/>
  <c r="L101" i="66"/>
  <c r="J486" i="37"/>
  <c r="E130" i="72"/>
  <c r="F130" i="72" s="1"/>
  <c r="D20" i="8"/>
  <c r="M101" i="66"/>
  <c r="G18" i="39" s="1"/>
  <c r="E285" i="72"/>
  <c r="F285" i="72" s="1"/>
  <c r="E367" i="38"/>
  <c r="K122" i="66" s="1"/>
  <c r="N122" i="66" s="1"/>
  <c r="J480" i="41"/>
  <c r="L53" i="66"/>
  <c r="I486" i="37"/>
  <c r="Y247" i="66"/>
  <c r="Y103" i="66"/>
  <c r="Z103" i="66"/>
  <c r="O102" i="66" l="1"/>
  <c r="Q102" i="66" s="1"/>
  <c r="Y246" i="66"/>
  <c r="O246" i="66"/>
  <c r="U246" i="66" s="1"/>
  <c r="Z102" i="66"/>
  <c r="Y102" i="66"/>
  <c r="Z246" i="66"/>
  <c r="J486" i="41"/>
  <c r="O198" i="66"/>
  <c r="V198" i="66" s="1"/>
  <c r="X198" i="66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38" i="72"/>
  <c r="F38" i="72" s="1"/>
  <c r="G39" i="72" s="1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6" i="72"/>
  <c r="F6" i="72" s="1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83" i="38"/>
  <c r="E289" i="38"/>
  <c r="Y218" i="66"/>
  <c r="Z218" i="66"/>
  <c r="Z74" i="66"/>
  <c r="Y74" i="66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354" i="38"/>
  <c r="K7" i="66" s="1"/>
  <c r="N7" i="66" s="1"/>
  <c r="H479" i="41"/>
  <c r="H480" i="37"/>
  <c r="Z198" i="66"/>
  <c r="O54" i="66"/>
  <c r="Y198" i="66"/>
  <c r="Z54" i="66"/>
  <c r="Y54" i="66"/>
  <c r="P101" i="66"/>
  <c r="N101" i="66"/>
  <c r="P245" i="66"/>
  <c r="N245" i="66"/>
  <c r="L6" i="66"/>
  <c r="P6" i="66" s="1"/>
  <c r="V6" i="66" s="1"/>
  <c r="X6" i="66" s="1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N150" i="66"/>
  <c r="E255" i="72"/>
  <c r="F255" i="72" s="1"/>
  <c r="I486" i="41"/>
  <c r="P53" i="66"/>
  <c r="N53" i="66"/>
  <c r="N197" i="66"/>
  <c r="P197" i="66"/>
  <c r="Y266" i="66"/>
  <c r="Z266" i="66"/>
  <c r="Y122" i="66"/>
  <c r="Z122" i="66"/>
  <c r="E295" i="38"/>
  <c r="E301" i="38"/>
  <c r="M149" i="66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Q246" i="66" l="1"/>
  <c r="V246" i="66"/>
  <c r="X246" i="66" s="1"/>
  <c r="U102" i="66"/>
  <c r="V102" i="66"/>
  <c r="X102" i="66" s="1"/>
  <c r="Q198" i="66"/>
  <c r="U198" i="66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O245" i="66"/>
  <c r="V245" i="66" s="1"/>
  <c r="X245" i="66" s="1"/>
  <c r="E162" i="72"/>
  <c r="F162" i="72" s="1"/>
  <c r="G163" i="72" s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L149" i="66"/>
  <c r="H486" i="58"/>
  <c r="E225" i="72"/>
  <c r="F225" i="72" s="1"/>
  <c r="E69" i="72"/>
  <c r="F69" i="72" s="1"/>
  <c r="U54" i="66"/>
  <c r="V54" i="66"/>
  <c r="X54" i="66" s="1"/>
  <c r="Q54" i="66"/>
  <c r="Y53" i="66"/>
  <c r="Z197" i="66"/>
  <c r="Z53" i="66"/>
  <c r="Y197" i="66"/>
  <c r="O53" i="66"/>
  <c r="N6" i="66"/>
  <c r="O150" i="66" s="1"/>
  <c r="M5" i="66"/>
  <c r="B20" i="8"/>
  <c r="O197" i="66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355" i="38"/>
  <c r="K26" i="66" s="1"/>
  <c r="N26" i="66" s="1"/>
  <c r="H480" i="41"/>
  <c r="L5" i="66"/>
  <c r="H486" i="37"/>
  <c r="E39" i="72"/>
  <c r="F39" i="72" s="1"/>
  <c r="E286" i="72"/>
  <c r="F286" i="72" s="1"/>
  <c r="E101" i="72"/>
  <c r="F101" i="72" s="1"/>
  <c r="Y101" i="66"/>
  <c r="Z101" i="66"/>
  <c r="Z245" i="66"/>
  <c r="Y245" i="66"/>
  <c r="O101" i="66"/>
  <c r="E131" i="72"/>
  <c r="F131" i="72" s="1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Y151" i="66"/>
  <c r="Y7" i="66"/>
  <c r="Z151" i="66"/>
  <c r="Z7" i="66"/>
  <c r="E256" i="72" l="1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U245" i="66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Q245" i="66"/>
  <c r="R245" i="66" s="1"/>
  <c r="T245" i="66" s="1"/>
  <c r="H486" i="41"/>
  <c r="E163" i="72"/>
  <c r="F163" i="72" s="1"/>
  <c r="G164" i="72" s="1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U197" i="66"/>
  <c r="V197" i="66"/>
  <c r="X197" i="66" s="1"/>
  <c r="Q197" i="66"/>
  <c r="R197" i="66" s="1"/>
  <c r="T197" i="66" s="1"/>
  <c r="E7" i="72"/>
  <c r="F7" i="72" s="1"/>
  <c r="Q150" i="66"/>
  <c r="U150" i="66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Y6" i="66"/>
  <c r="Y150" i="66"/>
  <c r="Z150" i="66"/>
  <c r="O6" i="66"/>
  <c r="Z6" i="66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Q101" i="66"/>
  <c r="R101" i="66" s="1"/>
  <c r="T101" i="66" s="1"/>
  <c r="U101" i="66"/>
  <c r="V101" i="66"/>
  <c r="X101" i="66" s="1"/>
  <c r="R5" i="66"/>
  <c r="T5" i="66" s="1"/>
  <c r="N5" i="66"/>
  <c r="P5" i="66"/>
  <c r="V5" i="66" s="1"/>
  <c r="X5" i="66" s="1"/>
  <c r="V53" i="66"/>
  <c r="X53" i="66" s="1"/>
  <c r="U53" i="66"/>
  <c r="Q53" i="66"/>
  <c r="R53" i="66" s="1"/>
  <c r="T53" i="66" s="1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Z170" i="66"/>
  <c r="Y26" i="66"/>
  <c r="Y170" i="66"/>
  <c r="Z26" i="66"/>
  <c r="P149" i="66"/>
  <c r="V149" i="66" s="1"/>
  <c r="X149" i="66" s="1"/>
  <c r="R149" i="66"/>
  <c r="T149" i="66" s="1"/>
  <c r="N149" i="66"/>
  <c r="E226" i="72" l="1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O149" i="66"/>
  <c r="U149" i="66" s="1"/>
  <c r="E164" i="72"/>
  <c r="F164" i="72" s="1"/>
  <c r="G165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70" i="72"/>
  <c r="F70" i="72" s="1"/>
  <c r="Q6" i="66"/>
  <c r="U6" i="66"/>
  <c r="Y149" i="66"/>
  <c r="Z149" i="66"/>
  <c r="O5" i="66"/>
  <c r="Y5" i="66"/>
  <c r="Z5" i="66"/>
  <c r="E40" i="72"/>
  <c r="F40" i="72" s="1"/>
  <c r="E287" i="72"/>
  <c r="F287" i="72" s="1"/>
  <c r="E132" i="72"/>
  <c r="F132" i="72" s="1"/>
  <c r="E102" i="72"/>
  <c r="F102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257" i="72"/>
  <c r="F257" i="72" s="1"/>
  <c r="Q149" i="66" l="1"/>
  <c r="H166" i="72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165" i="72"/>
  <c r="F165" i="72" s="1"/>
  <c r="G166" i="72" s="1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8" i="72"/>
  <c r="F8" i="72" s="1"/>
  <c r="G9" i="72" s="1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Q5" i="66"/>
  <c r="U5" i="66"/>
  <c r="E196" i="72"/>
  <c r="F196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27" i="72"/>
  <c r="F227" i="72" s="1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E133" i="72" l="1"/>
  <c r="F133" i="72" s="1"/>
  <c r="G134" i="72" s="1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103" i="72"/>
  <c r="F103" i="72" s="1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166" i="72"/>
  <c r="F166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71" i="72"/>
  <c r="F71" i="72" s="1"/>
  <c r="E9" i="72"/>
  <c r="F9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258" i="72"/>
  <c r="F258" i="72" s="1"/>
  <c r="E288" i="72"/>
  <c r="F288" i="72" s="1"/>
  <c r="E41" i="72"/>
  <c r="F41" i="72" s="1"/>
  <c r="E134" i="72" l="1"/>
  <c r="F134" i="72" s="1"/>
  <c r="G135" i="72" s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28" i="72"/>
  <c r="F228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97" i="72"/>
  <c r="F197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167" i="72" l="1"/>
  <c r="F167" i="72" s="1"/>
  <c r="G168" i="72" s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42" i="72"/>
  <c r="F42" i="72" s="1"/>
  <c r="G43" i="72" s="1"/>
  <c r="E72" i="72"/>
  <c r="F72" i="72" s="1"/>
  <c r="E10" i="72"/>
  <c r="F10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259" i="72"/>
  <c r="F259" i="72" s="1"/>
  <c r="E289" i="72"/>
  <c r="F289" i="72" s="1"/>
  <c r="E135" i="72"/>
  <c r="F135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H44" i="72" l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43" i="72"/>
  <c r="F43" i="72" s="1"/>
  <c r="G44" i="72" s="1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29" i="72"/>
  <c r="F229" i="72" s="1"/>
  <c r="E198" i="72"/>
  <c r="F198" i="72" s="1"/>
  <c r="E168" i="72"/>
  <c r="F168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06" i="72"/>
  <c r="F106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73" i="72" l="1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11" i="72"/>
  <c r="F11" i="72" s="1"/>
  <c r="G12" i="72" s="1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260" i="72"/>
  <c r="F260" i="72" s="1"/>
  <c r="E44" i="72"/>
  <c r="F44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290" i="72"/>
  <c r="F290" i="72" s="1"/>
  <c r="E136" i="72"/>
  <c r="F136" i="72" s="1"/>
  <c r="E107" i="72" l="1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12" i="72"/>
  <c r="F12" i="72" s="1"/>
  <c r="E230" i="72"/>
  <c r="F230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199" i="72"/>
  <c r="F199" i="72" s="1"/>
  <c r="E74" i="72"/>
  <c r="F74" i="72" s="1"/>
  <c r="E169" i="72"/>
  <c r="F169" i="72" s="1"/>
  <c r="E108" i="72" l="1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45" i="72"/>
  <c r="F45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261" i="72"/>
  <c r="F261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137" i="72"/>
  <c r="F137" i="72" s="1"/>
  <c r="E170" i="72" l="1"/>
  <c r="F170" i="72" s="1"/>
  <c r="G171" i="72" s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13" i="72"/>
  <c r="F13" i="72" s="1"/>
  <c r="E75" i="72"/>
  <c r="F75" i="72" s="1"/>
  <c r="E231" i="72"/>
  <c r="F231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200" i="72"/>
  <c r="F200" i="72" s="1"/>
  <c r="E292" i="72"/>
  <c r="F292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38" i="72" l="1"/>
  <c r="F138" i="72" s="1"/>
  <c r="G139" i="72" s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46" i="72"/>
  <c r="F46" i="72" s="1"/>
  <c r="E110" i="72"/>
  <c r="F110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262" i="72"/>
  <c r="F262" i="72" s="1"/>
  <c r="E171" i="72"/>
  <c r="F171" i="72" s="1"/>
  <c r="E293" i="72" l="1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14" i="72"/>
  <c r="F14" i="72" s="1"/>
  <c r="E76" i="72"/>
  <c r="F76" i="72" s="1"/>
  <c r="E232" i="72"/>
  <c r="F232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139" i="72"/>
  <c r="F139" i="72" s="1"/>
  <c r="E201" i="72"/>
  <c r="F201" i="72" s="1"/>
  <c r="E263" i="72" l="1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47" i="72"/>
  <c r="F47" i="72" s="1"/>
  <c r="G48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294" i="72"/>
  <c r="F294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11" i="72"/>
  <c r="F111" i="72" s="1"/>
  <c r="E172" i="72"/>
  <c r="F172" i="72" s="1"/>
  <c r="H49" i="72" l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48" i="72"/>
  <c r="F48" i="72" s="1"/>
  <c r="G49" i="72" s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264" i="72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140" i="72"/>
  <c r="F140" i="72" s="1"/>
  <c r="E202" i="72"/>
  <c r="F202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15" i="72"/>
  <c r="F15" i="72" s="1"/>
  <c r="E233" i="72"/>
  <c r="F233" i="72" s="1"/>
  <c r="E295" i="72" l="1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112" i="72"/>
  <c r="F112" i="72" s="1"/>
  <c r="E265" i="72"/>
  <c r="F265" i="72" s="1"/>
  <c r="E173" i="72"/>
  <c r="F173" i="72" s="1"/>
  <c r="E49" i="72"/>
  <c r="F49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78" i="72"/>
  <c r="F78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41" i="72" l="1"/>
  <c r="F141" i="72" s="1"/>
  <c r="G142" i="72" s="1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234" i="72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16" i="72"/>
  <c r="F16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96" i="72"/>
  <c r="F296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204" i="72" l="1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142" i="72"/>
  <c r="F142" i="72" s="1"/>
  <c r="G143" i="72" s="1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50" i="72"/>
  <c r="F50" i="72" s="1"/>
  <c r="G51" i="72" s="1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235" i="72"/>
  <c r="F235" i="72" s="1"/>
  <c r="E113" i="72"/>
  <c r="F113" i="72" s="1"/>
  <c r="E79" i="72"/>
  <c r="F79" i="72" s="1"/>
  <c r="E266" i="72"/>
  <c r="F266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174" i="72"/>
  <c r="F174" i="72" s="1"/>
  <c r="E51" i="72" l="1"/>
  <c r="F51" i="72" s="1"/>
  <c r="G52" i="72" s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7" i="72"/>
  <c r="F17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297" i="72"/>
  <c r="F297" i="72" s="1"/>
  <c r="E143" i="72"/>
  <c r="F143" i="72" s="1"/>
  <c r="E236" i="72" l="1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114" i="72"/>
  <c r="F114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80" i="72"/>
  <c r="F80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175" i="72"/>
  <c r="F175" i="72" s="1"/>
  <c r="E267" i="72"/>
  <c r="F267" i="72" s="1"/>
  <c r="E206" i="72"/>
  <c r="F206" i="72" s="1"/>
  <c r="E52" i="72"/>
  <c r="F52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8" i="72" l="1"/>
  <c r="F18" i="72" s="1"/>
  <c r="G19" i="72" s="1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98" i="72"/>
  <c r="F298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144" i="72"/>
  <c r="F144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237" i="72"/>
  <c r="F237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19" i="72" l="1"/>
  <c r="F19" i="72" s="1"/>
  <c r="G20" i="72" s="1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53" i="72"/>
  <c r="F53" i="72" s="1"/>
  <c r="G54" i="72" s="1"/>
  <c r="H55" i="72" s="1"/>
  <c r="I56" i="72" s="1"/>
  <c r="J57" i="72" s="1"/>
  <c r="K58" i="72" s="1"/>
  <c r="L59" i="72" s="1"/>
  <c r="M60" i="72" s="1"/>
  <c r="N61" i="72" s="1"/>
  <c r="O62" i="72" s="1"/>
  <c r="P63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81" i="72"/>
  <c r="F81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176" i="72"/>
  <c r="F176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115" i="72"/>
  <c r="F115" i="72" s="1"/>
  <c r="E268" i="72"/>
  <c r="F268" i="72" s="1"/>
  <c r="E207" i="72"/>
  <c r="F207" i="72" s="1"/>
  <c r="E238" i="72" l="1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0" i="72"/>
  <c r="F20" i="72" s="1"/>
  <c r="E54" i="72"/>
  <c r="F54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145" i="72"/>
  <c r="F145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208" i="72" l="1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G55" i="72"/>
  <c r="H56" i="72" s="1"/>
  <c r="I57" i="72" s="1"/>
  <c r="J58" i="72" s="1"/>
  <c r="K59" i="72" s="1"/>
  <c r="L60" i="72" s="1"/>
  <c r="M61" i="72" s="1"/>
  <c r="N62" i="72" s="1"/>
  <c r="O63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82" i="72"/>
  <c r="F82" i="72" s="1"/>
  <c r="E269" i="72"/>
  <c r="F269" i="72" s="1"/>
  <c r="E300" i="72"/>
  <c r="F300" i="72" s="1"/>
  <c r="E239" i="72"/>
  <c r="F239" i="72" s="1"/>
  <c r="E177" i="72"/>
  <c r="F177" i="72" s="1"/>
  <c r="E116" i="72"/>
  <c r="F116" i="72" s="1"/>
  <c r="G117" i="72" l="1"/>
  <c r="H118" i="72" s="1"/>
  <c r="I119" i="72" s="1"/>
  <c r="J120" i="72" s="1"/>
  <c r="K121" i="72" s="1"/>
  <c r="L122" i="72" s="1"/>
  <c r="M123" i="72" s="1"/>
  <c r="N124" i="72" s="1"/>
  <c r="O125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1" i="72"/>
  <c r="F21" i="72" s="1"/>
  <c r="E146" i="72"/>
  <c r="F146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55" i="72"/>
  <c r="F55" i="72" s="1"/>
  <c r="E209" i="72"/>
  <c r="F209" i="72" s="1"/>
  <c r="E270" i="72" l="1"/>
  <c r="F270" i="72" s="1"/>
  <c r="G271" i="72" s="1"/>
  <c r="H272" i="72" s="1"/>
  <c r="I273" i="72" s="1"/>
  <c r="J274" i="72" s="1"/>
  <c r="K275" i="72" s="1"/>
  <c r="L276" i="72" s="1"/>
  <c r="M277" i="72" s="1"/>
  <c r="N278" i="72" s="1"/>
  <c r="O279" i="72" s="1"/>
  <c r="P280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E301" i="72"/>
  <c r="F301" i="72" s="1"/>
  <c r="E240" i="72"/>
  <c r="F240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E178" i="72"/>
  <c r="F178" i="72" s="1"/>
  <c r="G56" i="72"/>
  <c r="H57" i="72" s="1"/>
  <c r="I58" i="72" s="1"/>
  <c r="J59" i="72" s="1"/>
  <c r="K60" i="72" s="1"/>
  <c r="L61" i="72" s="1"/>
  <c r="M62" i="72" s="1"/>
  <c r="N63" i="72" s="1"/>
  <c r="E83" i="72"/>
  <c r="F83" i="72" s="1"/>
  <c r="E117" i="72"/>
  <c r="F117" i="72" s="1"/>
  <c r="E210" i="72" l="1"/>
  <c r="F210" i="72" s="1"/>
  <c r="G211" i="72" s="1"/>
  <c r="H212" i="72" s="1"/>
  <c r="I213" i="72" s="1"/>
  <c r="J214" i="72" s="1"/>
  <c r="K215" i="72" s="1"/>
  <c r="L216" i="72" s="1"/>
  <c r="M217" i="72" s="1"/>
  <c r="N218" i="72" s="1"/>
  <c r="E56" i="72"/>
  <c r="F56" i="72" s="1"/>
  <c r="G57" i="72" s="1"/>
  <c r="H58" i="72" s="1"/>
  <c r="I59" i="72" s="1"/>
  <c r="J60" i="72" s="1"/>
  <c r="K61" i="72" s="1"/>
  <c r="L62" i="72" s="1"/>
  <c r="M63" i="72" s="1"/>
  <c r="E22" i="72"/>
  <c r="F22" i="72" s="1"/>
  <c r="G23" i="72" s="1"/>
  <c r="H24" i="72" s="1"/>
  <c r="I25" i="72" s="1"/>
  <c r="J26" i="72" s="1"/>
  <c r="K27" i="72" s="1"/>
  <c r="L28" i="72" s="1"/>
  <c r="M29" i="72" s="1"/>
  <c r="N30" i="72" s="1"/>
  <c r="O31" i="72" s="1"/>
  <c r="P32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G118" i="72"/>
  <c r="H119" i="72" s="1"/>
  <c r="I120" i="72" s="1"/>
  <c r="J121" i="72" s="1"/>
  <c r="K122" i="72" s="1"/>
  <c r="L123" i="72" s="1"/>
  <c r="M124" i="72" s="1"/>
  <c r="N125" i="72" s="1"/>
  <c r="E271" i="72"/>
  <c r="F271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E147" i="72"/>
  <c r="F147" i="72" s="1"/>
  <c r="E241" i="72" l="1"/>
  <c r="F241" i="72" s="1"/>
  <c r="G242" i="72" s="1"/>
  <c r="H243" i="72" s="1"/>
  <c r="I244" i="72" s="1"/>
  <c r="J245" i="72" s="1"/>
  <c r="K246" i="72" s="1"/>
  <c r="L247" i="72" s="1"/>
  <c r="M248" i="72" s="1"/>
  <c r="N249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E23" i="72"/>
  <c r="F23" i="72" s="1"/>
  <c r="G24" i="72" s="1"/>
  <c r="H25" i="72" s="1"/>
  <c r="I26" i="72" s="1"/>
  <c r="J27" i="72" s="1"/>
  <c r="K28" i="72" s="1"/>
  <c r="L29" i="72" s="1"/>
  <c r="M30" i="72" s="1"/>
  <c r="N31" i="72" s="1"/>
  <c r="O32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E118" i="72"/>
  <c r="F118" i="72" s="1"/>
  <c r="E84" i="72"/>
  <c r="F84" i="72" s="1"/>
  <c r="E57" i="72"/>
  <c r="F57" i="72" s="1"/>
  <c r="E179" i="72"/>
  <c r="F179" i="72" s="1"/>
  <c r="E303" i="72" l="1"/>
  <c r="F303" i="72" s="1"/>
  <c r="G304" i="72" s="1"/>
  <c r="H305" i="72" s="1"/>
  <c r="I306" i="72" s="1"/>
  <c r="J307" i="72" s="1"/>
  <c r="K308" i="72" s="1"/>
  <c r="L309" i="72" s="1"/>
  <c r="M310" i="72" s="1"/>
  <c r="N311" i="72" s="1"/>
  <c r="E242" i="72"/>
  <c r="F242" i="72" s="1"/>
  <c r="G243" i="72" s="1"/>
  <c r="H244" i="72" s="1"/>
  <c r="I245" i="72" s="1"/>
  <c r="J246" i="72" s="1"/>
  <c r="K247" i="72" s="1"/>
  <c r="L248" i="72" s="1"/>
  <c r="M249" i="72" s="1"/>
  <c r="E212" i="72"/>
  <c r="F212" i="72" s="1"/>
  <c r="G213" i="72" s="1"/>
  <c r="H214" i="72" s="1"/>
  <c r="I215" i="72" s="1"/>
  <c r="J216" i="72" s="1"/>
  <c r="K217" i="72" s="1"/>
  <c r="L218" i="72" s="1"/>
  <c r="G180" i="72"/>
  <c r="H181" i="72" s="1"/>
  <c r="I182" i="72" s="1"/>
  <c r="J183" i="72" s="1"/>
  <c r="K184" i="72" s="1"/>
  <c r="L185" i="72" s="1"/>
  <c r="M186" i="72" s="1"/>
  <c r="N187" i="72" s="1"/>
  <c r="E24" i="72"/>
  <c r="F24" i="72" s="1"/>
  <c r="E148" i="72"/>
  <c r="F148" i="72" s="1"/>
  <c r="E272" i="72"/>
  <c r="F272" i="72" s="1"/>
  <c r="G58" i="72"/>
  <c r="H59" i="72" s="1"/>
  <c r="I60" i="72" s="1"/>
  <c r="J61" i="72" s="1"/>
  <c r="K62" i="72" s="1"/>
  <c r="L63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G119" i="72"/>
  <c r="H120" i="72" s="1"/>
  <c r="I121" i="72" s="1"/>
  <c r="J122" i="72" s="1"/>
  <c r="K123" i="72" s="1"/>
  <c r="L124" i="72" s="1"/>
  <c r="M125" i="72" s="1"/>
  <c r="E119" i="72" l="1"/>
  <c r="F119" i="72" s="1"/>
  <c r="G120" i="72" s="1"/>
  <c r="H121" i="72" s="1"/>
  <c r="I122" i="72" s="1"/>
  <c r="J123" i="72" s="1"/>
  <c r="K124" i="72" s="1"/>
  <c r="L125" i="72" s="1"/>
  <c r="E213" i="72"/>
  <c r="F213" i="72" s="1"/>
  <c r="G214" i="72" s="1"/>
  <c r="G273" i="72"/>
  <c r="H274" i="72" s="1"/>
  <c r="I275" i="72" s="1"/>
  <c r="J276" i="72" s="1"/>
  <c r="K277" i="72" s="1"/>
  <c r="L278" i="72" s="1"/>
  <c r="M279" i="72" s="1"/>
  <c r="N280" i="72" s="1"/>
  <c r="G149" i="72"/>
  <c r="H150" i="72" s="1"/>
  <c r="I151" i="72" s="1"/>
  <c r="J152" i="72" s="1"/>
  <c r="K153" i="72" s="1"/>
  <c r="L154" i="72" s="1"/>
  <c r="M155" i="72" s="1"/>
  <c r="N156" i="72" s="1"/>
  <c r="G25" i="72"/>
  <c r="H26" i="72" s="1"/>
  <c r="I27" i="72" s="1"/>
  <c r="J28" i="72" s="1"/>
  <c r="K29" i="72" s="1"/>
  <c r="L30" i="72" s="1"/>
  <c r="M31" i="72" s="1"/>
  <c r="N32" i="72" s="1"/>
  <c r="E304" i="72"/>
  <c r="F304" i="72" s="1"/>
  <c r="E85" i="72"/>
  <c r="F85" i="72" s="1"/>
  <c r="E243" i="72"/>
  <c r="F243" i="72" s="1"/>
  <c r="E58" i="72"/>
  <c r="F58" i="72" s="1"/>
  <c r="E180" i="72"/>
  <c r="F180" i="72" s="1"/>
  <c r="H215" i="72" l="1"/>
  <c r="I216" i="72" s="1"/>
  <c r="J217" i="72" s="1"/>
  <c r="K218" i="72" s="1"/>
  <c r="E214" i="72"/>
  <c r="F214" i="72" s="1"/>
  <c r="G215" i="72" s="1"/>
  <c r="H216" i="72" s="1"/>
  <c r="I217" i="72" s="1"/>
  <c r="J218" i="72" s="1"/>
  <c r="E120" i="72"/>
  <c r="F120" i="72" s="1"/>
  <c r="G121" i="72" s="1"/>
  <c r="H122" i="72" s="1"/>
  <c r="I123" i="72" s="1"/>
  <c r="J124" i="72" s="1"/>
  <c r="K125" i="72" s="1"/>
  <c r="G86" i="72"/>
  <c r="H87" i="72" s="1"/>
  <c r="I88" i="72" s="1"/>
  <c r="J89" i="72" s="1"/>
  <c r="K90" i="72" s="1"/>
  <c r="L91" i="72" s="1"/>
  <c r="M92" i="72" s="1"/>
  <c r="N93" i="72" s="1"/>
  <c r="O94" i="72" s="1"/>
  <c r="G305" i="72"/>
  <c r="H306" i="72" s="1"/>
  <c r="I307" i="72" s="1"/>
  <c r="J308" i="72" s="1"/>
  <c r="K309" i="72" s="1"/>
  <c r="L310" i="72" s="1"/>
  <c r="M311" i="72" s="1"/>
  <c r="E25" i="72"/>
  <c r="F25" i="72" s="1"/>
  <c r="E149" i="72"/>
  <c r="F149" i="72" s="1"/>
  <c r="G181" i="72"/>
  <c r="H182" i="72" s="1"/>
  <c r="I183" i="72" s="1"/>
  <c r="J184" i="72" s="1"/>
  <c r="K185" i="72" s="1"/>
  <c r="L186" i="72" s="1"/>
  <c r="M187" i="72" s="1"/>
  <c r="G59" i="72"/>
  <c r="H60" i="72" s="1"/>
  <c r="I61" i="72" s="1"/>
  <c r="J62" i="72" s="1"/>
  <c r="K63" i="72" s="1"/>
  <c r="G244" i="72"/>
  <c r="H245" i="72" s="1"/>
  <c r="I246" i="72" s="1"/>
  <c r="J247" i="72" s="1"/>
  <c r="K248" i="72" s="1"/>
  <c r="L249" i="72" s="1"/>
  <c r="E273" i="72"/>
  <c r="F273" i="72" s="1"/>
  <c r="E181" i="72" l="1"/>
  <c r="F181" i="72" s="1"/>
  <c r="G150" i="72"/>
  <c r="H151" i="72" s="1"/>
  <c r="I152" i="72" s="1"/>
  <c r="J153" i="72" s="1"/>
  <c r="K154" i="72" s="1"/>
  <c r="L155" i="72" s="1"/>
  <c r="M156" i="72" s="1"/>
  <c r="G26" i="72"/>
  <c r="H27" i="72" s="1"/>
  <c r="I28" i="72" s="1"/>
  <c r="J29" i="72" s="1"/>
  <c r="K30" i="72" s="1"/>
  <c r="L31" i="72" s="1"/>
  <c r="M32" i="72" s="1"/>
  <c r="E215" i="72"/>
  <c r="F215" i="72" s="1"/>
  <c r="E305" i="72"/>
  <c r="F305" i="72" s="1"/>
  <c r="G274" i="72"/>
  <c r="H275" i="72" s="1"/>
  <c r="I276" i="72" s="1"/>
  <c r="J277" i="72" s="1"/>
  <c r="K278" i="72" s="1"/>
  <c r="L279" i="72" s="1"/>
  <c r="M280" i="72" s="1"/>
  <c r="E244" i="72"/>
  <c r="F244" i="72" s="1"/>
  <c r="E121" i="72"/>
  <c r="F121" i="72" s="1"/>
  <c r="E59" i="72"/>
  <c r="F59" i="72" s="1"/>
  <c r="E86" i="72"/>
  <c r="F86" i="72" s="1"/>
  <c r="E274" i="72" l="1"/>
  <c r="F274" i="72" s="1"/>
  <c r="G275" i="72" s="1"/>
  <c r="H276" i="72" s="1"/>
  <c r="I277" i="72" s="1"/>
  <c r="J278" i="72" s="1"/>
  <c r="K279" i="72" s="1"/>
  <c r="L280" i="72" s="1"/>
  <c r="G306" i="72"/>
  <c r="H307" i="72" s="1"/>
  <c r="I308" i="72" s="1"/>
  <c r="J309" i="72" s="1"/>
  <c r="K310" i="72" s="1"/>
  <c r="L311" i="72" s="1"/>
  <c r="G216" i="72"/>
  <c r="H217" i="72" s="1"/>
  <c r="I218" i="72" s="1"/>
  <c r="E26" i="72"/>
  <c r="F26" i="72" s="1"/>
  <c r="G87" i="72"/>
  <c r="H88" i="72" s="1"/>
  <c r="I89" i="72" s="1"/>
  <c r="J90" i="72" s="1"/>
  <c r="K91" i="72" s="1"/>
  <c r="L92" i="72" s="1"/>
  <c r="M93" i="72" s="1"/>
  <c r="N94" i="72" s="1"/>
  <c r="E150" i="72"/>
  <c r="F150" i="72" s="1"/>
  <c r="G60" i="72"/>
  <c r="H61" i="72" s="1"/>
  <c r="I62" i="72" s="1"/>
  <c r="J63" i="72" s="1"/>
  <c r="G122" i="72"/>
  <c r="H123" i="72" s="1"/>
  <c r="I124" i="72" s="1"/>
  <c r="J125" i="72" s="1"/>
  <c r="G245" i="72"/>
  <c r="H246" i="72" s="1"/>
  <c r="I247" i="72" s="1"/>
  <c r="J248" i="72" s="1"/>
  <c r="K249" i="72" s="1"/>
  <c r="G182" i="72"/>
  <c r="H183" i="72" s="1"/>
  <c r="I184" i="72" s="1"/>
  <c r="J185" i="72" s="1"/>
  <c r="K186" i="72" s="1"/>
  <c r="L187" i="72" s="1"/>
  <c r="E60" i="72" l="1"/>
  <c r="F60" i="72" s="1"/>
  <c r="G151" i="72"/>
  <c r="H152" i="72" s="1"/>
  <c r="I153" i="72" s="1"/>
  <c r="J154" i="72" s="1"/>
  <c r="K155" i="72" s="1"/>
  <c r="L156" i="72" s="1"/>
  <c r="E87" i="72"/>
  <c r="F87" i="72" s="1"/>
  <c r="G27" i="72"/>
  <c r="H28" i="72" s="1"/>
  <c r="I29" i="72" s="1"/>
  <c r="J30" i="72" s="1"/>
  <c r="K31" i="72" s="1"/>
  <c r="L32" i="72" s="1"/>
  <c r="E182" i="72"/>
  <c r="F182" i="72" s="1"/>
  <c r="E216" i="72"/>
  <c r="F216" i="72" s="1"/>
  <c r="E245" i="72"/>
  <c r="F245" i="72" s="1"/>
  <c r="E275" i="72"/>
  <c r="F275" i="72" s="1"/>
  <c r="E122" i="72"/>
  <c r="F122" i="72" s="1"/>
  <c r="E306" i="72"/>
  <c r="F306" i="72" s="1"/>
  <c r="G307" i="72" l="1"/>
  <c r="H308" i="72" s="1"/>
  <c r="I309" i="72" s="1"/>
  <c r="J310" i="72" s="1"/>
  <c r="K311" i="72" s="1"/>
  <c r="G123" i="72"/>
  <c r="H124" i="72" s="1"/>
  <c r="I125" i="72" s="1"/>
  <c r="G276" i="72"/>
  <c r="H277" i="72" s="1"/>
  <c r="I278" i="72" s="1"/>
  <c r="J279" i="72" s="1"/>
  <c r="K280" i="72" s="1"/>
  <c r="E27" i="72"/>
  <c r="F27" i="72" s="1"/>
  <c r="G246" i="72"/>
  <c r="H247" i="72" s="1"/>
  <c r="I248" i="72" s="1"/>
  <c r="J249" i="72" s="1"/>
  <c r="G217" i="72"/>
  <c r="H218" i="72" s="1"/>
  <c r="G88" i="72"/>
  <c r="H89" i="72" s="1"/>
  <c r="I90" i="72" s="1"/>
  <c r="J91" i="72" s="1"/>
  <c r="K92" i="72" s="1"/>
  <c r="L93" i="72" s="1"/>
  <c r="M94" i="72" s="1"/>
  <c r="G183" i="72"/>
  <c r="H184" i="72" s="1"/>
  <c r="I185" i="72" s="1"/>
  <c r="J186" i="72" s="1"/>
  <c r="K187" i="72" s="1"/>
  <c r="E151" i="72"/>
  <c r="F151" i="72" s="1"/>
  <c r="G61" i="72"/>
  <c r="H62" i="72" s="1"/>
  <c r="I63" i="72" s="1"/>
  <c r="E217" i="72" l="1"/>
  <c r="F217" i="72" s="1"/>
  <c r="G218" i="72" s="1"/>
  <c r="E218" i="72" s="1"/>
  <c r="F218" i="72" s="1"/>
  <c r="E183" i="72"/>
  <c r="F183" i="72" s="1"/>
  <c r="G184" i="72" s="1"/>
  <c r="H185" i="72" s="1"/>
  <c r="I186" i="72" s="1"/>
  <c r="J187" i="72" s="1"/>
  <c r="E88" i="72"/>
  <c r="F88" i="72" s="1"/>
  <c r="G89" i="72" s="1"/>
  <c r="E246" i="72"/>
  <c r="F246" i="72" s="1"/>
  <c r="G28" i="72"/>
  <c r="H29" i="72" s="1"/>
  <c r="I30" i="72" s="1"/>
  <c r="J31" i="72" s="1"/>
  <c r="K32" i="72" s="1"/>
  <c r="E61" i="72"/>
  <c r="F61" i="72" s="1"/>
  <c r="E276" i="72"/>
  <c r="F276" i="72" s="1"/>
  <c r="G152" i="72"/>
  <c r="H153" i="72" s="1"/>
  <c r="I154" i="72" s="1"/>
  <c r="J155" i="72" s="1"/>
  <c r="K156" i="72" s="1"/>
  <c r="E123" i="72"/>
  <c r="F123" i="72" s="1"/>
  <c r="E307" i="72"/>
  <c r="F307" i="72" s="1"/>
  <c r="H90" i="72" l="1"/>
  <c r="I91" i="72" s="1"/>
  <c r="J92" i="72" s="1"/>
  <c r="K93" i="72" s="1"/>
  <c r="L94" i="72" s="1"/>
  <c r="E89" i="72"/>
  <c r="F89" i="72" s="1"/>
  <c r="G90" i="72" s="1"/>
  <c r="H91" i="72" s="1"/>
  <c r="I92" i="72" s="1"/>
  <c r="J93" i="72" s="1"/>
  <c r="K94" i="72" s="1"/>
  <c r="E184" i="72"/>
  <c r="F184" i="72" s="1"/>
  <c r="G185" i="72" s="1"/>
  <c r="H186" i="72" s="1"/>
  <c r="I187" i="72" s="1"/>
  <c r="E152" i="72"/>
  <c r="F152" i="72" s="1"/>
  <c r="G153" i="72" s="1"/>
  <c r="H154" i="72" s="1"/>
  <c r="I155" i="72" s="1"/>
  <c r="J156" i="72" s="1"/>
  <c r="G308" i="72"/>
  <c r="H309" i="72" s="1"/>
  <c r="I310" i="72" s="1"/>
  <c r="J311" i="72" s="1"/>
  <c r="G124" i="72"/>
  <c r="H125" i="72" s="1"/>
  <c r="G277" i="72"/>
  <c r="H278" i="72" s="1"/>
  <c r="I279" i="72" s="1"/>
  <c r="J280" i="72" s="1"/>
  <c r="E28" i="72"/>
  <c r="F28" i="72" s="1"/>
  <c r="G62" i="72"/>
  <c r="H63" i="72" s="1"/>
  <c r="G247" i="72"/>
  <c r="H248" i="72" s="1"/>
  <c r="I249" i="72" s="1"/>
  <c r="E277" i="72" l="1"/>
  <c r="F277" i="72" s="1"/>
  <c r="G278" i="72" s="1"/>
  <c r="H279" i="72" s="1"/>
  <c r="I280" i="72" s="1"/>
  <c r="E153" i="72"/>
  <c r="F153" i="72" s="1"/>
  <c r="E124" i="72"/>
  <c r="F124" i="72" s="1"/>
  <c r="G125" i="72" s="1"/>
  <c r="E125" i="72" s="1"/>
  <c r="F125" i="72" s="1"/>
  <c r="AL125" i="72" s="1"/>
  <c r="E247" i="72"/>
  <c r="F247" i="72" s="1"/>
  <c r="E185" i="72"/>
  <c r="F185" i="72" s="1"/>
  <c r="E62" i="72"/>
  <c r="F62" i="72" s="1"/>
  <c r="E308" i="72"/>
  <c r="F308" i="72" s="1"/>
  <c r="G29" i="72"/>
  <c r="H30" i="72" s="1"/>
  <c r="I31" i="72" s="1"/>
  <c r="J32" i="72" s="1"/>
  <c r="E90" i="72"/>
  <c r="F90" i="72" s="1"/>
  <c r="E278" i="72" l="1"/>
  <c r="F278" i="72" s="1"/>
  <c r="G279" i="72" s="1"/>
  <c r="H280" i="72" s="1"/>
  <c r="G91" i="72"/>
  <c r="H92" i="72" s="1"/>
  <c r="I93" i="72" s="1"/>
  <c r="J94" i="72" s="1"/>
  <c r="E29" i="72"/>
  <c r="F29" i="72" s="1"/>
  <c r="G309" i="72"/>
  <c r="H310" i="72" s="1"/>
  <c r="I311" i="72" s="1"/>
  <c r="G63" i="72"/>
  <c r="E63" i="72" s="1"/>
  <c r="F63" i="72" s="1"/>
  <c r="AL63" i="72" s="1"/>
  <c r="G186" i="72"/>
  <c r="H187" i="72" s="1"/>
  <c r="G248" i="72"/>
  <c r="H249" i="72" s="1"/>
  <c r="G154" i="72"/>
  <c r="H155" i="72" s="1"/>
  <c r="I156" i="72" s="1"/>
  <c r="E248" i="72" l="1"/>
  <c r="F248" i="72" s="1"/>
  <c r="G249" i="72" s="1"/>
  <c r="E249" i="72" s="1"/>
  <c r="F249" i="72" s="1"/>
  <c r="E186" i="72"/>
  <c r="F186" i="72" s="1"/>
  <c r="G187" i="72" s="1"/>
  <c r="E187" i="72" s="1"/>
  <c r="F187" i="72" s="1"/>
  <c r="E309" i="72"/>
  <c r="F309" i="72" s="1"/>
  <c r="G30" i="72"/>
  <c r="H31" i="72" s="1"/>
  <c r="I32" i="72" s="1"/>
  <c r="E154" i="72"/>
  <c r="F154" i="72" s="1"/>
  <c r="E279" i="72"/>
  <c r="F279" i="72" s="1"/>
  <c r="G280" i="72" s="1"/>
  <c r="E280" i="72" s="1"/>
  <c r="F280" i="72" s="1"/>
  <c r="E91" i="72"/>
  <c r="F91" i="72" s="1"/>
  <c r="G92" i="72" l="1"/>
  <c r="H93" i="72" s="1"/>
  <c r="I94" i="72" s="1"/>
  <c r="G155" i="72"/>
  <c r="H156" i="72" s="1"/>
  <c r="E30" i="72"/>
  <c r="F30" i="72" s="1"/>
  <c r="G310" i="72"/>
  <c r="H311" i="72" s="1"/>
  <c r="E310" i="72" l="1"/>
  <c r="F310" i="72" s="1"/>
  <c r="G311" i="72" s="1"/>
  <c r="E311" i="72" s="1"/>
  <c r="F311" i="72" s="1"/>
  <c r="G31" i="72"/>
  <c r="H32" i="72" s="1"/>
  <c r="E155" i="72"/>
  <c r="F155" i="72" s="1"/>
  <c r="G156" i="72" s="1"/>
  <c r="E156" i="72" s="1"/>
  <c r="F156" i="72" s="1"/>
  <c r="E92" i="72"/>
  <c r="F92" i="72" s="1"/>
  <c r="G93" i="72" l="1"/>
  <c r="H94" i="72" s="1"/>
  <c r="E31" i="72"/>
  <c r="F31" i="72" s="1"/>
  <c r="E93" i="72" l="1"/>
  <c r="F93" i="72" s="1"/>
  <c r="G94" i="72" s="1"/>
  <c r="E94" i="72" s="1"/>
  <c r="F94" i="72" s="1"/>
  <c r="AL94" i="72" s="1"/>
  <c r="AL127" i="72" s="1"/>
  <c r="G32" i="72"/>
  <c r="E32" i="72" s="1"/>
  <c r="F32" i="72" s="1"/>
  <c r="D40" i="26" l="1" a="1"/>
  <c r="D40" i="26" s="1"/>
  <c r="H203" i="35" s="1"/>
  <c r="I84" i="37" s="1"/>
  <c r="F28" i="26" a="1"/>
  <c r="F28" i="26" s="1"/>
  <c r="G212" i="35" s="1"/>
  <c r="E24" i="26" a="1"/>
  <c r="E24" i="26" s="1"/>
  <c r="I187" i="35" s="1"/>
  <c r="F24" i="26" a="1"/>
  <c r="F24" i="26" s="1"/>
  <c r="G208" i="35" s="1"/>
  <c r="F30" i="26" a="1"/>
  <c r="F30" i="26" s="1"/>
  <c r="G214" i="35" s="1"/>
  <c r="H43" i="58" s="1"/>
  <c r="H43" i="41" s="1"/>
  <c r="E28" i="26" a="1"/>
  <c r="E28" i="26" s="1"/>
  <c r="I191" i="35" s="1"/>
  <c r="E38" i="26" a="1"/>
  <c r="E38" i="26" s="1"/>
  <c r="I201" i="35" s="1"/>
  <c r="E29" i="26" a="1"/>
  <c r="E29" i="26" s="1"/>
  <c r="I192" i="35" s="1"/>
  <c r="J41" i="37" s="1"/>
  <c r="G42" i="26" a="1"/>
  <c r="G42" i="26" s="1"/>
  <c r="H226" i="35" s="1"/>
  <c r="I94" i="58" s="1"/>
  <c r="G25" i="26" a="1"/>
  <c r="G25" i="26" s="1"/>
  <c r="H209" i="35" s="1"/>
  <c r="F34" i="26" a="1"/>
  <c r="F34" i="26" s="1"/>
  <c r="G218" i="35" s="1"/>
  <c r="F39" i="26" a="1"/>
  <c r="F39" i="26" s="1"/>
  <c r="G223" i="35" s="1"/>
  <c r="G29" i="26" a="1"/>
  <c r="G29" i="26" s="1"/>
  <c r="H213" i="35" s="1"/>
  <c r="I41" i="58" s="1"/>
  <c r="D39" i="26" a="1"/>
  <c r="D39" i="26" s="1"/>
  <c r="F42" i="26" a="1"/>
  <c r="F42" i="26" s="1"/>
  <c r="G226" i="35" s="1"/>
  <c r="E30" i="26" a="1"/>
  <c r="E30" i="26" s="1"/>
  <c r="I193" i="35" s="1"/>
  <c r="J46" i="37" s="1"/>
  <c r="H37" i="26" a="1"/>
  <c r="H37" i="26" s="1"/>
  <c r="I221" i="35" s="1"/>
  <c r="J73" i="58" s="1"/>
  <c r="F26" i="26" a="1"/>
  <c r="F26" i="26" s="1"/>
  <c r="G210" i="35" s="1"/>
  <c r="H27" i="58" s="1"/>
  <c r="H27" i="41" s="1"/>
  <c r="F40" i="26" a="1"/>
  <c r="F40" i="26" s="1"/>
  <c r="G224" i="35" s="1"/>
  <c r="H86" i="58" s="1"/>
  <c r="H86" i="41" s="1"/>
  <c r="F32" i="26" a="1"/>
  <c r="F32" i="26" s="1"/>
  <c r="G216" i="35" s="1"/>
  <c r="H51" i="58" s="1"/>
  <c r="H51" i="41" s="1"/>
  <c r="H27" i="26" a="1"/>
  <c r="H27" i="26" s="1"/>
  <c r="F31" i="26" a="1"/>
  <c r="F31" i="26" s="1"/>
  <c r="G215" i="35" s="1"/>
  <c r="F29" i="26" a="1"/>
  <c r="F29" i="26" s="1"/>
  <c r="G213" i="35" s="1"/>
  <c r="H39" i="58" s="1"/>
  <c r="H39" i="41" s="1"/>
  <c r="F38" i="26" a="1"/>
  <c r="F38" i="26" s="1"/>
  <c r="G222" i="35" s="1"/>
  <c r="H75" i="58" s="1"/>
  <c r="H75" i="41" s="1"/>
  <c r="E32" i="26" a="1"/>
  <c r="E32" i="26" s="1"/>
  <c r="I195" i="35" s="1"/>
  <c r="J52" i="37" s="1"/>
  <c r="H24" i="26" a="1"/>
  <c r="H24" i="26" s="1"/>
  <c r="I208" i="35" s="1"/>
  <c r="J19" i="58" s="1"/>
  <c r="H39" i="26" a="1"/>
  <c r="H39" i="26" s="1"/>
  <c r="I223" i="35" s="1"/>
  <c r="G31" i="26" a="1"/>
  <c r="G31" i="26" s="1"/>
  <c r="H215" i="35" s="1"/>
  <c r="E42" i="26" a="1"/>
  <c r="E42" i="26" s="1"/>
  <c r="I205" i="35" s="1"/>
  <c r="J91" i="37" s="1"/>
  <c r="E41" i="26" a="1"/>
  <c r="E41" i="26" s="1"/>
  <c r="I204" i="35" s="1"/>
  <c r="J90" i="37" s="1"/>
  <c r="E31" i="26" a="1"/>
  <c r="E31" i="26" s="1"/>
  <c r="I194" i="35" s="1"/>
  <c r="D28" i="26" a="1"/>
  <c r="D28" i="26" s="1"/>
  <c r="H191" i="35" s="1"/>
  <c r="I38" i="37" s="1"/>
  <c r="D42" i="26" a="1"/>
  <c r="D42" i="26" s="1"/>
  <c r="H205" i="35" s="1"/>
  <c r="I93" i="37" s="1"/>
  <c r="G28" i="26" a="1"/>
  <c r="G28" i="26" s="1"/>
  <c r="H212" i="35" s="1"/>
  <c r="I37" i="58" s="1"/>
  <c r="G30" i="26" a="1"/>
  <c r="G30" i="26" s="1"/>
  <c r="H214" i="35" s="1"/>
  <c r="I44" i="58" s="1"/>
  <c r="G33" i="26" a="1"/>
  <c r="G33" i="26" s="1"/>
  <c r="H217" i="35" s="1"/>
  <c r="I57" i="58" s="1"/>
  <c r="E33" i="26" a="1"/>
  <c r="E33" i="26" s="1"/>
  <c r="I196" i="35" s="1"/>
  <c r="J58" i="37" s="1"/>
  <c r="H35" i="26" a="1"/>
  <c r="H35" i="26" s="1"/>
  <c r="I219" i="35" s="1"/>
  <c r="E36" i="26" a="1"/>
  <c r="E36" i="26" s="1"/>
  <c r="I199" i="35" s="1"/>
  <c r="J69" i="37" s="1"/>
  <c r="H28" i="26" a="1"/>
  <c r="H28" i="26" s="1"/>
  <c r="I212" i="35" s="1"/>
  <c r="J38" i="58" s="1"/>
  <c r="G26" i="26" a="1"/>
  <c r="G26" i="26" s="1"/>
  <c r="H210" i="35" s="1"/>
  <c r="I27" i="58" s="1"/>
  <c r="D23" i="26" a="1"/>
  <c r="D23" i="26" s="1"/>
  <c r="H186" i="35" s="1"/>
  <c r="E23" i="26" a="1"/>
  <c r="E23" i="26" s="1"/>
  <c r="I186" i="35" s="1"/>
  <c r="H29" i="26" a="1"/>
  <c r="H29" i="26" s="1"/>
  <c r="I213" i="35" s="1"/>
  <c r="J39" i="58" s="1"/>
  <c r="E26" i="26" a="1"/>
  <c r="E26" i="26" s="1"/>
  <c r="I189" i="35" s="1"/>
  <c r="J30" i="37" s="1"/>
  <c r="D32" i="26" a="1"/>
  <c r="D32" i="26" s="1"/>
  <c r="H195" i="35" s="1"/>
  <c r="I53" i="37" s="1"/>
  <c r="H33" i="26" a="1"/>
  <c r="H33" i="26" s="1"/>
  <c r="I217" i="35" s="1"/>
  <c r="J58" i="58" s="1"/>
  <c r="H31" i="26" a="1"/>
  <c r="H31" i="26" s="1"/>
  <c r="I215" i="35" s="1"/>
  <c r="E39" i="26" a="1"/>
  <c r="E39" i="26" s="1"/>
  <c r="I202" i="35" s="1"/>
  <c r="G27" i="26" a="1"/>
  <c r="G27" i="26" s="1"/>
  <c r="H26" i="26" a="1"/>
  <c r="H26" i="26" s="1"/>
  <c r="I210" i="35" s="1"/>
  <c r="J27" i="58" s="1"/>
  <c r="H42" i="26" a="1"/>
  <c r="H42" i="26" s="1"/>
  <c r="I226" i="35" s="1"/>
  <c r="J91" i="58" s="1"/>
  <c r="G40" i="26" a="1"/>
  <c r="G40" i="26" s="1"/>
  <c r="H224" i="35" s="1"/>
  <c r="I86" i="58" s="1"/>
  <c r="H36" i="26" a="1"/>
  <c r="H36" i="26" s="1"/>
  <c r="I220" i="35" s="1"/>
  <c r="J68" i="58" s="1"/>
  <c r="D27" i="26" a="1"/>
  <c r="D27" i="26" s="1"/>
  <c r="H190" i="35" s="1"/>
  <c r="F33" i="26" a="1"/>
  <c r="F33" i="26" s="1"/>
  <c r="G217" i="35" s="1"/>
  <c r="H57" i="58" s="1"/>
  <c r="H57" i="41" s="1"/>
  <c r="E27" i="26" a="1"/>
  <c r="E27" i="26" s="1"/>
  <c r="I190" i="35" s="1"/>
  <c r="D38" i="26" a="1"/>
  <c r="D38" i="26" s="1"/>
  <c r="H201" i="35" s="1"/>
  <c r="I78" i="37" s="1"/>
  <c r="D29" i="26" a="1"/>
  <c r="D29" i="26" s="1"/>
  <c r="H192" i="35" s="1"/>
  <c r="I42" i="37" s="1"/>
  <c r="F27" i="26" a="1"/>
  <c r="F27" i="26" s="1"/>
  <c r="G211" i="35" s="1"/>
  <c r="H40" i="26" a="1"/>
  <c r="H40" i="26" s="1"/>
  <c r="I224" i="35" s="1"/>
  <c r="J84" i="58" s="1"/>
  <c r="D41" i="26" a="1"/>
  <c r="D41" i="26" s="1"/>
  <c r="H204" i="35" s="1"/>
  <c r="I88" i="37" s="1"/>
  <c r="D25" i="26" a="1"/>
  <c r="D25" i="26" s="1"/>
  <c r="H188" i="35" s="1"/>
  <c r="I26" i="37" s="1"/>
  <c r="D24" i="26" a="1"/>
  <c r="D24" i="26" s="1"/>
  <c r="H187" i="35" s="1"/>
  <c r="I22" i="37" s="1"/>
  <c r="G34" i="26" a="1"/>
  <c r="G34" i="26" s="1"/>
  <c r="H218" i="35" s="1"/>
  <c r="I62" i="58" s="1"/>
  <c r="H32" i="26" a="1"/>
  <c r="H32" i="26" s="1"/>
  <c r="I216" i="35" s="1"/>
  <c r="J54" i="58" s="1"/>
  <c r="F25" i="26" a="1"/>
  <c r="F25" i="26" s="1"/>
  <c r="G209" i="35" s="1"/>
  <c r="H26" i="58" s="1"/>
  <c r="H26" i="41" s="1"/>
  <c r="H30" i="26" a="1"/>
  <c r="H30" i="26" s="1"/>
  <c r="I214" i="35" s="1"/>
  <c r="J45" i="58" s="1"/>
  <c r="G35" i="26" a="1"/>
  <c r="G35" i="26" s="1"/>
  <c r="H219" i="35" s="1"/>
  <c r="F41" i="26" a="1"/>
  <c r="F41" i="26" s="1"/>
  <c r="G225" i="35" s="1"/>
  <c r="H87" i="58" s="1"/>
  <c r="H87" i="41" s="1"/>
  <c r="D26" i="26" a="1"/>
  <c r="D26" i="26" s="1"/>
  <c r="H189" i="35" s="1"/>
  <c r="I28" i="37" s="1"/>
  <c r="G36" i="26" a="1"/>
  <c r="G36" i="26" s="1"/>
  <c r="H220" i="35" s="1"/>
  <c r="I68" i="58" s="1"/>
  <c r="G39" i="26" a="1"/>
  <c r="G39" i="26" s="1"/>
  <c r="H223" i="35" s="1"/>
  <c r="D31" i="26" a="1"/>
  <c r="D31" i="26" s="1"/>
  <c r="H194" i="35" s="1"/>
  <c r="E25" i="26" a="1"/>
  <c r="E25" i="26" s="1"/>
  <c r="I188" i="35" s="1"/>
  <c r="J23" i="37" s="1"/>
  <c r="F36" i="26" a="1"/>
  <c r="F36" i="26" s="1"/>
  <c r="G220" i="35" s="1"/>
  <c r="H68" i="58" s="1"/>
  <c r="H68" i="41" s="1"/>
  <c r="D30" i="26" a="1"/>
  <c r="D30" i="26" s="1"/>
  <c r="H193" i="35" s="1"/>
  <c r="I45" i="37" s="1"/>
  <c r="I83" i="37"/>
  <c r="H41" i="26" a="1"/>
  <c r="H41" i="26" s="1"/>
  <c r="I225" i="35" s="1"/>
  <c r="J19" i="37"/>
  <c r="J21" i="37"/>
  <c r="J22" i="37"/>
  <c r="J20" i="37"/>
  <c r="H23" i="26" a="1"/>
  <c r="H23" i="26" s="1"/>
  <c r="H29" i="58"/>
  <c r="H29" i="41" s="1"/>
  <c r="H28" i="58"/>
  <c r="H28" i="41" s="1"/>
  <c r="I211" i="35"/>
  <c r="G38" i="26" a="1"/>
  <c r="G38" i="26" s="1"/>
  <c r="H222" i="35" s="1"/>
  <c r="H20" i="58"/>
  <c r="H20" i="41" s="1"/>
  <c r="H22" i="58"/>
  <c r="H22" i="41" s="1"/>
  <c r="H19" i="58"/>
  <c r="H19" i="41" s="1"/>
  <c r="H21" i="58"/>
  <c r="H21" i="41" s="1"/>
  <c r="H202" i="35"/>
  <c r="J42" i="37"/>
  <c r="J40" i="37"/>
  <c r="J39" i="37"/>
  <c r="H25" i="26" a="1"/>
  <c r="H25" i="26" s="1"/>
  <c r="I209" i="35" s="1"/>
  <c r="I92" i="58"/>
  <c r="I91" i="58"/>
  <c r="I93" i="58"/>
  <c r="H54" i="58"/>
  <c r="H54" i="41" s="1"/>
  <c r="H35" i="58"/>
  <c r="H35" i="41" s="1"/>
  <c r="H36" i="58"/>
  <c r="H36" i="41" s="1"/>
  <c r="H38" i="58"/>
  <c r="H38" i="41" s="1"/>
  <c r="H37" i="58"/>
  <c r="H37" i="41" s="1"/>
  <c r="E34" i="26" a="1"/>
  <c r="E34" i="26" s="1"/>
  <c r="I197" i="35" s="1"/>
  <c r="J43" i="37"/>
  <c r="J44" i="37"/>
  <c r="J45" i="37"/>
  <c r="H45" i="58"/>
  <c r="H45" i="41" s="1"/>
  <c r="E35" i="26" a="1"/>
  <c r="E35" i="26" s="1"/>
  <c r="H34" i="26" a="1"/>
  <c r="H34" i="26" s="1"/>
  <c r="I218" i="35" s="1"/>
  <c r="I26" i="58"/>
  <c r="I24" i="58"/>
  <c r="I25" i="58"/>
  <c r="I23" i="58"/>
  <c r="D36" i="26" a="1"/>
  <c r="D36" i="26" s="1"/>
  <c r="H199" i="35" s="1"/>
  <c r="H40" i="58"/>
  <c r="H40" i="41" s="1"/>
  <c r="J36" i="37"/>
  <c r="J37" i="37"/>
  <c r="J35" i="37"/>
  <c r="J38" i="37"/>
  <c r="F23" i="26" a="1"/>
  <c r="F23" i="26" s="1"/>
  <c r="J51" i="37"/>
  <c r="J54" i="37"/>
  <c r="J53" i="37"/>
  <c r="J76" i="37"/>
  <c r="J77" i="37"/>
  <c r="J75" i="37"/>
  <c r="J78" i="37"/>
  <c r="J72" i="58"/>
  <c r="I36" i="58"/>
  <c r="I38" i="58"/>
  <c r="AL32" i="72"/>
  <c r="E37" i="26" a="1"/>
  <c r="E37" i="26" s="1"/>
  <c r="I200" i="35" s="1"/>
  <c r="G37" i="26" a="1"/>
  <c r="G37" i="26" s="1"/>
  <c r="H221" i="35" s="1"/>
  <c r="D33" i="26" a="1"/>
  <c r="D33" i="26" s="1"/>
  <c r="H196" i="35" s="1"/>
  <c r="D34" i="26" a="1"/>
  <c r="D34" i="26" s="1"/>
  <c r="H197" i="35" s="1"/>
  <c r="G24" i="26" a="1"/>
  <c r="G24" i="26" s="1"/>
  <c r="H208" i="35" s="1"/>
  <c r="G32" i="26" a="1"/>
  <c r="G32" i="26" s="1"/>
  <c r="H216" i="35" s="1"/>
  <c r="G41" i="26" a="1"/>
  <c r="G41" i="26" s="1"/>
  <c r="H225" i="35" s="1"/>
  <c r="D35" i="26" a="1"/>
  <c r="D35" i="26" s="1"/>
  <c r="F35" i="26" a="1"/>
  <c r="F35" i="26" s="1"/>
  <c r="F37" i="26" a="1"/>
  <c r="F37" i="26" s="1"/>
  <c r="G221" i="35" s="1"/>
  <c r="E40" i="26" a="1"/>
  <c r="E40" i="26" s="1"/>
  <c r="I203" i="35" s="1"/>
  <c r="G23" i="26" a="1"/>
  <c r="G23" i="26" s="1"/>
  <c r="H60" i="58"/>
  <c r="H60" i="41" s="1"/>
  <c r="H61" i="58"/>
  <c r="H61" i="41" s="1"/>
  <c r="H62" i="58"/>
  <c r="H62" i="41" s="1"/>
  <c r="H59" i="58"/>
  <c r="H59" i="41" s="1"/>
  <c r="I39" i="58"/>
  <c r="I40" i="58"/>
  <c r="I42" i="58"/>
  <c r="H85" i="58"/>
  <c r="H85" i="41" s="1"/>
  <c r="H84" i="58"/>
  <c r="H84" i="41" s="1"/>
  <c r="D37" i="26" a="1"/>
  <c r="D37" i="26" s="1"/>
  <c r="H200" i="35" s="1"/>
  <c r="H77" i="58"/>
  <c r="H77" i="41" s="1"/>
  <c r="H92" i="58"/>
  <c r="H92" i="41" s="1"/>
  <c r="H94" i="58"/>
  <c r="H94" i="41" s="1"/>
  <c r="H93" i="58"/>
  <c r="H93" i="41" s="1"/>
  <c r="H91" i="58"/>
  <c r="H91" i="41" s="1"/>
  <c r="H38" i="26" a="1"/>
  <c r="H38" i="26" s="1"/>
  <c r="I222" i="35" s="1"/>
  <c r="I86" i="37" l="1"/>
  <c r="I85" i="37"/>
  <c r="H44" i="58"/>
  <c r="H44" i="41" s="1"/>
  <c r="H46" i="58"/>
  <c r="H46" i="41" s="1"/>
  <c r="J74" i="58"/>
  <c r="J93" i="37"/>
  <c r="I45" i="58"/>
  <c r="I46" i="58"/>
  <c r="I43" i="58"/>
  <c r="H78" i="58"/>
  <c r="H78" i="41" s="1"/>
  <c r="H76" i="58"/>
  <c r="H76" i="41" s="1"/>
  <c r="J71" i="58"/>
  <c r="H30" i="58"/>
  <c r="H30" i="41" s="1"/>
  <c r="H83" i="58"/>
  <c r="H83" i="41" s="1"/>
  <c r="I55" i="58"/>
  <c r="J20" i="58"/>
  <c r="J20" i="41" s="1"/>
  <c r="I58" i="58"/>
  <c r="H41" i="58"/>
  <c r="H41" i="41" s="1"/>
  <c r="I56" i="58"/>
  <c r="J67" i="37"/>
  <c r="H52" i="58"/>
  <c r="H52" i="41" s="1"/>
  <c r="J70" i="37"/>
  <c r="H53" i="58"/>
  <c r="H53" i="41" s="1"/>
  <c r="J89" i="37"/>
  <c r="I28" i="58"/>
  <c r="I29" i="58"/>
  <c r="J36" i="58"/>
  <c r="J68" i="37"/>
  <c r="J28" i="58"/>
  <c r="I52" i="37"/>
  <c r="I77" i="37"/>
  <c r="I54" i="37"/>
  <c r="I75" i="37"/>
  <c r="J86" i="58"/>
  <c r="H42" i="58"/>
  <c r="H42" i="41" s="1"/>
  <c r="J85" i="58"/>
  <c r="J22" i="58"/>
  <c r="I37" i="37"/>
  <c r="I35" i="37"/>
  <c r="J88" i="37"/>
  <c r="J21" i="58"/>
  <c r="I36" i="37"/>
  <c r="J87" i="37"/>
  <c r="J94" i="37"/>
  <c r="J69" i="58"/>
  <c r="J92" i="37"/>
  <c r="F51" i="26"/>
  <c r="I30" i="58"/>
  <c r="I35" i="58"/>
  <c r="I39" i="37"/>
  <c r="H58" i="58"/>
  <c r="H58" i="41" s="1"/>
  <c r="I41" i="37"/>
  <c r="I84" i="58"/>
  <c r="J55" i="37"/>
  <c r="J57" i="37"/>
  <c r="H55" i="58"/>
  <c r="H55" i="41" s="1"/>
  <c r="I40" i="37"/>
  <c r="J94" i="58"/>
  <c r="I85" i="58"/>
  <c r="I85" i="41" s="1"/>
  <c r="J40" i="58"/>
  <c r="I91" i="37"/>
  <c r="J56" i="58"/>
  <c r="J41" i="58"/>
  <c r="I19" i="37"/>
  <c r="I92" i="37"/>
  <c r="J30" i="58"/>
  <c r="J55" i="58"/>
  <c r="J42" i="58"/>
  <c r="J57" i="58"/>
  <c r="H56" i="58"/>
  <c r="H56" i="41" s="1"/>
  <c r="J28" i="37"/>
  <c r="J28" i="41" s="1"/>
  <c r="I94" i="37"/>
  <c r="J35" i="58"/>
  <c r="H211" i="35"/>
  <c r="J37" i="58"/>
  <c r="J29" i="37"/>
  <c r="J27" i="37"/>
  <c r="J56" i="37"/>
  <c r="D51" i="26"/>
  <c r="J83" i="58"/>
  <c r="I25" i="37"/>
  <c r="I83" i="58"/>
  <c r="J29" i="58"/>
  <c r="J67" i="58"/>
  <c r="J67" i="41" s="1"/>
  <c r="J70" i="58"/>
  <c r="I51" i="37"/>
  <c r="I21" i="37"/>
  <c r="I23" i="37"/>
  <c r="I23" i="41" s="1"/>
  <c r="J92" i="58"/>
  <c r="J93" i="58"/>
  <c r="E51" i="26"/>
  <c r="H51" i="26" s="1"/>
  <c r="J25" i="37"/>
  <c r="H25" i="58"/>
  <c r="H25" i="41" s="1"/>
  <c r="I26" i="41"/>
  <c r="J53" i="58"/>
  <c r="E52" i="26"/>
  <c r="H52" i="26" s="1"/>
  <c r="J46" i="58"/>
  <c r="I76" i="37"/>
  <c r="J44" i="58"/>
  <c r="I27" i="37"/>
  <c r="I29" i="37"/>
  <c r="I30" i="37"/>
  <c r="H23" i="58"/>
  <c r="H23" i="41" s="1"/>
  <c r="I24" i="37"/>
  <c r="I59" i="58"/>
  <c r="J52" i="58"/>
  <c r="J52" i="41" s="1"/>
  <c r="I61" i="58"/>
  <c r="I70" i="58"/>
  <c r="I67" i="58"/>
  <c r="I60" i="58"/>
  <c r="I20" i="37"/>
  <c r="I69" i="58"/>
  <c r="G51" i="26"/>
  <c r="J43" i="58"/>
  <c r="J43" i="41" s="1"/>
  <c r="E54" i="26"/>
  <c r="H54" i="26" s="1"/>
  <c r="H90" i="58"/>
  <c r="H90" i="41" s="1"/>
  <c r="H88" i="58"/>
  <c r="H88" i="41" s="1"/>
  <c r="I42" i="41"/>
  <c r="C54" i="26"/>
  <c r="H89" i="58"/>
  <c r="H89" i="41" s="1"/>
  <c r="J44" i="41"/>
  <c r="I89" i="37"/>
  <c r="I90" i="37"/>
  <c r="I87" i="37"/>
  <c r="H67" i="58"/>
  <c r="H67" i="41" s="1"/>
  <c r="J51" i="58"/>
  <c r="J51" i="41" s="1"/>
  <c r="J29" i="41"/>
  <c r="H24" i="58"/>
  <c r="H24" i="41" s="1"/>
  <c r="D50" i="26"/>
  <c r="J22" i="41"/>
  <c r="J19" i="41"/>
  <c r="J37" i="41"/>
  <c r="J24" i="37"/>
  <c r="H70" i="58"/>
  <c r="H70" i="41" s="1"/>
  <c r="J26" i="37"/>
  <c r="J53" i="41"/>
  <c r="H69" i="58"/>
  <c r="H69" i="41" s="1"/>
  <c r="I35" i="41"/>
  <c r="I37" i="41"/>
  <c r="J54" i="41"/>
  <c r="J30" i="41"/>
  <c r="C50" i="26"/>
  <c r="C51" i="26"/>
  <c r="I51" i="26" s="1"/>
  <c r="I30" i="41"/>
  <c r="I45" i="41"/>
  <c r="I92" i="41"/>
  <c r="I43" i="37"/>
  <c r="I43" i="41" s="1"/>
  <c r="I28" i="41"/>
  <c r="I44" i="37"/>
  <c r="I44" i="41" s="1"/>
  <c r="I46" i="37"/>
  <c r="I46" i="41" s="1"/>
  <c r="J76" i="58"/>
  <c r="J76" i="41" s="1"/>
  <c r="J78" i="58"/>
  <c r="J78" i="41" s="1"/>
  <c r="J77" i="58"/>
  <c r="J77" i="41" s="1"/>
  <c r="J75" i="58"/>
  <c r="J75" i="41" s="1"/>
  <c r="I27" i="41"/>
  <c r="I52" i="58"/>
  <c r="I52" i="41" s="1"/>
  <c r="I51" i="58"/>
  <c r="I51" i="41" s="1"/>
  <c r="I54" i="58"/>
  <c r="I54" i="41" s="1"/>
  <c r="I53" i="58"/>
  <c r="I53" i="41" s="1"/>
  <c r="J38" i="41"/>
  <c r="I24" i="41"/>
  <c r="I47" i="58"/>
  <c r="I49" i="58"/>
  <c r="I48" i="58"/>
  <c r="I50" i="58"/>
  <c r="J51" i="26"/>
  <c r="I19" i="58"/>
  <c r="I19" i="41" s="1"/>
  <c r="I21" i="58"/>
  <c r="I21" i="41" s="1"/>
  <c r="I20" i="58"/>
  <c r="I20" i="41" s="1"/>
  <c r="I22" i="58"/>
  <c r="I22" i="41" s="1"/>
  <c r="H33" i="58"/>
  <c r="H33" i="41" s="1"/>
  <c r="H34" i="58"/>
  <c r="H34" i="41" s="1"/>
  <c r="H32" i="58"/>
  <c r="H32" i="41" s="1"/>
  <c r="H31" i="58"/>
  <c r="H31" i="41" s="1"/>
  <c r="J35" i="41"/>
  <c r="J42" i="41"/>
  <c r="F52" i="26"/>
  <c r="I93" i="41"/>
  <c r="J33" i="37"/>
  <c r="J32" i="37"/>
  <c r="J31" i="37"/>
  <c r="J34" i="37"/>
  <c r="I31" i="58"/>
  <c r="I33" i="58"/>
  <c r="I34" i="58"/>
  <c r="I32" i="58"/>
  <c r="I60" i="37"/>
  <c r="I62" i="37"/>
  <c r="I62" i="41" s="1"/>
  <c r="I61" i="37"/>
  <c r="I61" i="41" s="1"/>
  <c r="I59" i="37"/>
  <c r="I59" i="41" s="1"/>
  <c r="J61" i="58"/>
  <c r="J60" i="58"/>
  <c r="J62" i="58"/>
  <c r="J59" i="58"/>
  <c r="J18" i="37"/>
  <c r="J16" i="37"/>
  <c r="J17" i="37"/>
  <c r="J15" i="37"/>
  <c r="I94" i="41"/>
  <c r="J39" i="41"/>
  <c r="J90" i="58"/>
  <c r="J90" i="41" s="1"/>
  <c r="J87" i="58"/>
  <c r="J87" i="41" s="1"/>
  <c r="J88" i="58"/>
  <c r="J88" i="41" s="1"/>
  <c r="J89" i="58"/>
  <c r="J89" i="41" s="1"/>
  <c r="I57" i="37"/>
  <c r="I57" i="41" s="1"/>
  <c r="I58" i="37"/>
  <c r="I58" i="41" s="1"/>
  <c r="I56" i="37"/>
  <c r="I56" i="41" s="1"/>
  <c r="I55" i="37"/>
  <c r="I55" i="41" s="1"/>
  <c r="I38" i="41"/>
  <c r="I198" i="35"/>
  <c r="D53" i="26"/>
  <c r="H47" i="58"/>
  <c r="H47" i="41" s="1"/>
  <c r="H50" i="58"/>
  <c r="H50" i="41" s="1"/>
  <c r="H48" i="58"/>
  <c r="H48" i="41" s="1"/>
  <c r="H49" i="58"/>
  <c r="H49" i="41" s="1"/>
  <c r="I91" i="41"/>
  <c r="J41" i="41"/>
  <c r="J31" i="58"/>
  <c r="J34" i="58"/>
  <c r="J32" i="58"/>
  <c r="J33" i="58"/>
  <c r="I86" i="41"/>
  <c r="J61" i="37"/>
  <c r="J62" i="37"/>
  <c r="J59" i="37"/>
  <c r="J60" i="37"/>
  <c r="H80" i="58"/>
  <c r="H80" i="41" s="1"/>
  <c r="H79" i="58"/>
  <c r="H79" i="41" s="1"/>
  <c r="H82" i="58"/>
  <c r="H82" i="41" s="1"/>
  <c r="H81" i="58"/>
  <c r="H81" i="41" s="1"/>
  <c r="J40" i="41"/>
  <c r="I72" i="58"/>
  <c r="I71" i="58"/>
  <c r="I74" i="58"/>
  <c r="I73" i="58"/>
  <c r="I75" i="58"/>
  <c r="I75" i="41" s="1"/>
  <c r="I78" i="58"/>
  <c r="I78" i="41" s="1"/>
  <c r="I77" i="58"/>
  <c r="I77" i="41" s="1"/>
  <c r="I76" i="58"/>
  <c r="I207" i="35"/>
  <c r="G50" i="26"/>
  <c r="I18" i="37"/>
  <c r="I16" i="37"/>
  <c r="I15" i="37"/>
  <c r="I17" i="37"/>
  <c r="I83" i="41"/>
  <c r="J94" i="41"/>
  <c r="J23" i="58"/>
  <c r="J23" i="41" s="1"/>
  <c r="J26" i="58"/>
  <c r="J24" i="58"/>
  <c r="J25" i="58"/>
  <c r="H207" i="35"/>
  <c r="F50" i="26"/>
  <c r="G52" i="26"/>
  <c r="I36" i="41"/>
  <c r="C52" i="26"/>
  <c r="F54" i="26"/>
  <c r="F53" i="26"/>
  <c r="G54" i="26"/>
  <c r="I84" i="41"/>
  <c r="J93" i="41"/>
  <c r="J73" i="37"/>
  <c r="J73" i="41" s="1"/>
  <c r="J72" i="37"/>
  <c r="J72" i="41" s="1"/>
  <c r="J74" i="37"/>
  <c r="J74" i="41" s="1"/>
  <c r="J71" i="37"/>
  <c r="J71" i="41" s="1"/>
  <c r="G53" i="26"/>
  <c r="J86" i="37"/>
  <c r="J85" i="37"/>
  <c r="J85" i="41" s="1"/>
  <c r="J83" i="37"/>
  <c r="J83" i="41" s="1"/>
  <c r="J84" i="37"/>
  <c r="J84" i="41" s="1"/>
  <c r="J49" i="58"/>
  <c r="J50" i="58"/>
  <c r="J47" i="58"/>
  <c r="J48" i="58"/>
  <c r="J68" i="41"/>
  <c r="J56" i="41"/>
  <c r="I48" i="37"/>
  <c r="I49" i="37"/>
  <c r="I47" i="37"/>
  <c r="I50" i="37"/>
  <c r="I79" i="37"/>
  <c r="I82" i="37"/>
  <c r="I80" i="37"/>
  <c r="I81" i="37"/>
  <c r="I81" i="58"/>
  <c r="I79" i="58"/>
  <c r="I80" i="58"/>
  <c r="I82" i="58"/>
  <c r="I65" i="58"/>
  <c r="I64" i="58"/>
  <c r="I63" i="58"/>
  <c r="I66" i="58"/>
  <c r="J82" i="58"/>
  <c r="J79" i="58"/>
  <c r="J81" i="58"/>
  <c r="J80" i="58"/>
  <c r="J91" i="41"/>
  <c r="J64" i="58"/>
  <c r="J66" i="58"/>
  <c r="J63" i="58"/>
  <c r="J65" i="58"/>
  <c r="H74" i="58"/>
  <c r="H74" i="41" s="1"/>
  <c r="H72" i="58"/>
  <c r="H72" i="41" s="1"/>
  <c r="H71" i="58"/>
  <c r="H71" i="41" s="1"/>
  <c r="H73" i="58"/>
  <c r="H73" i="41" s="1"/>
  <c r="J36" i="41"/>
  <c r="J69" i="41"/>
  <c r="J58" i="41"/>
  <c r="I33" i="37"/>
  <c r="I31" i="37"/>
  <c r="I34" i="37"/>
  <c r="I32" i="37"/>
  <c r="J92" i="41"/>
  <c r="E53" i="26"/>
  <c r="H53" i="26" s="1"/>
  <c r="G219" i="35"/>
  <c r="I67" i="37"/>
  <c r="I67" i="41" s="1"/>
  <c r="I69" i="37"/>
  <c r="I69" i="41" s="1"/>
  <c r="I70" i="37"/>
  <c r="I68" i="37"/>
  <c r="I68" i="41" s="1"/>
  <c r="J70" i="41"/>
  <c r="J55" i="41"/>
  <c r="I40" i="41"/>
  <c r="J45" i="41"/>
  <c r="D54" i="26"/>
  <c r="I72" i="37"/>
  <c r="I71" i="37"/>
  <c r="I73" i="37"/>
  <c r="I74" i="37"/>
  <c r="H198" i="35"/>
  <c r="C53" i="26"/>
  <c r="J57" i="41"/>
  <c r="I39" i="41"/>
  <c r="J46" i="41"/>
  <c r="J21" i="41"/>
  <c r="J81" i="37"/>
  <c r="J80" i="37"/>
  <c r="J82" i="37"/>
  <c r="J79" i="37"/>
  <c r="D52" i="26"/>
  <c r="I90" i="58"/>
  <c r="I87" i="58"/>
  <c r="I89" i="58"/>
  <c r="I88" i="58"/>
  <c r="I88" i="41" s="1"/>
  <c r="G207" i="35"/>
  <c r="E50" i="26"/>
  <c r="H50" i="26" s="1"/>
  <c r="I25" i="41"/>
  <c r="I41" i="41"/>
  <c r="J27" i="41"/>
  <c r="J49" i="37"/>
  <c r="J48" i="37"/>
  <c r="J50" i="37"/>
  <c r="J47" i="37"/>
  <c r="I29" i="41" l="1"/>
  <c r="I47" i="41"/>
  <c r="I60" i="41"/>
  <c r="J86" i="41"/>
  <c r="I71" i="41"/>
  <c r="J25" i="41"/>
  <c r="I76" i="41"/>
  <c r="J48" i="41"/>
  <c r="I32" i="41"/>
  <c r="J26" i="41"/>
  <c r="J24" i="41"/>
  <c r="I70" i="41"/>
  <c r="J50" i="41"/>
  <c r="I33" i="41"/>
  <c r="I87" i="41"/>
  <c r="J54" i="26"/>
  <c r="J50" i="26"/>
  <c r="I90" i="41"/>
  <c r="I74" i="41"/>
  <c r="I72" i="41"/>
  <c r="I31" i="41"/>
  <c r="I54" i="26"/>
  <c r="I34" i="41"/>
  <c r="I52" i="26"/>
  <c r="J47" i="41"/>
  <c r="I50" i="26"/>
  <c r="I89" i="41"/>
  <c r="J59" i="41"/>
  <c r="J62" i="41"/>
  <c r="J82" i="41"/>
  <c r="I73" i="41"/>
  <c r="J49" i="41"/>
  <c r="J79" i="41"/>
  <c r="J60" i="41"/>
  <c r="J61" i="41"/>
  <c r="I80" i="41"/>
  <c r="I17" i="58"/>
  <c r="I15" i="58"/>
  <c r="I16" i="58"/>
  <c r="I16" i="41" s="1"/>
  <c r="I18" i="58"/>
  <c r="I18" i="41" s="1"/>
  <c r="H63" i="58"/>
  <c r="H63" i="41" s="1"/>
  <c r="H66" i="58"/>
  <c r="H66" i="41" s="1"/>
  <c r="H64" i="58"/>
  <c r="H64" i="41" s="1"/>
  <c r="H65" i="58"/>
  <c r="H65" i="41" s="1"/>
  <c r="J17" i="58"/>
  <c r="J15" i="58"/>
  <c r="J16" i="58"/>
  <c r="J16" i="41" s="1"/>
  <c r="J18" i="58"/>
  <c r="J18" i="41" s="1"/>
  <c r="J80" i="41"/>
  <c r="I50" i="41"/>
  <c r="J81" i="41"/>
  <c r="I53" i="26"/>
  <c r="I48" i="41"/>
  <c r="I49" i="41"/>
  <c r="H15" i="58"/>
  <c r="H16" i="58"/>
  <c r="H17" i="58"/>
  <c r="H18" i="58"/>
  <c r="H18" i="41" s="1"/>
  <c r="I81" i="41"/>
  <c r="J34" i="41"/>
  <c r="I82" i="41"/>
  <c r="J53" i="26"/>
  <c r="J31" i="41"/>
  <c r="I79" i="41"/>
  <c r="J52" i="26"/>
  <c r="J65" i="37"/>
  <c r="J65" i="41" s="1"/>
  <c r="J66" i="37"/>
  <c r="J66" i="41" s="1"/>
  <c r="J64" i="37"/>
  <c r="J64" i="41" s="1"/>
  <c r="J63" i="37"/>
  <c r="J63" i="41" s="1"/>
  <c r="J32" i="41"/>
  <c r="I63" i="37"/>
  <c r="I63" i="41" s="1"/>
  <c r="I65" i="37"/>
  <c r="I65" i="41" s="1"/>
  <c r="I66" i="37"/>
  <c r="I66" i="41" s="1"/>
  <c r="I64" i="37"/>
  <c r="I64" i="41" s="1"/>
  <c r="J33" i="41"/>
  <c r="C38" i="63" l="1"/>
  <c r="J17" i="41"/>
  <c r="C58" i="63"/>
  <c r="I17" i="41"/>
  <c r="C48" i="63"/>
  <c r="C28" i="63"/>
  <c r="C18" i="63"/>
  <c r="I15" i="41"/>
  <c r="J15" i="41"/>
  <c r="I424" i="37"/>
  <c r="I423" i="37"/>
  <c r="H17" i="41"/>
  <c r="J424" i="37"/>
  <c r="H16" i="41"/>
  <c r="J423" i="37"/>
  <c r="H15" i="41"/>
  <c r="H423" i="58"/>
  <c r="H424" i="58"/>
  <c r="H424" i="41" s="1"/>
  <c r="J423" i="58"/>
  <c r="J424" i="58"/>
  <c r="F289" i="66" s="1"/>
  <c r="I424" i="58"/>
  <c r="E23" i="53" s="1"/>
  <c r="F23" i="53" s="1"/>
  <c r="H17" i="53" s="1"/>
  <c r="I423" i="58"/>
  <c r="E35" i="53" l="1"/>
  <c r="F35" i="53" s="1"/>
  <c r="H29" i="53" s="1"/>
  <c r="F241" i="66"/>
  <c r="F193" i="66"/>
  <c r="J425" i="58"/>
  <c r="E347" i="38"/>
  <c r="M290" i="66" s="1"/>
  <c r="F290" i="66"/>
  <c r="J424" i="41"/>
  <c r="I423" i="41"/>
  <c r="E311" i="38"/>
  <c r="M98" i="66" s="1"/>
  <c r="F98" i="66"/>
  <c r="I425" i="37"/>
  <c r="H425" i="58"/>
  <c r="F194" i="66"/>
  <c r="H423" i="41"/>
  <c r="E299" i="38"/>
  <c r="M194" i="66" s="1"/>
  <c r="I424" i="41"/>
  <c r="E17" i="53"/>
  <c r="F17" i="53" s="1"/>
  <c r="E335" i="38"/>
  <c r="M146" i="66" s="1"/>
  <c r="J425" i="37"/>
  <c r="F146" i="66"/>
  <c r="J423" i="41"/>
  <c r="F145" i="66"/>
  <c r="F97" i="66"/>
  <c r="I425" i="58"/>
  <c r="F242" i="66"/>
  <c r="E323" i="38"/>
  <c r="M242" i="66" s="1"/>
  <c r="E11" i="53"/>
  <c r="F11" i="53" s="1"/>
  <c r="E29" i="53"/>
  <c r="F29" i="53" s="1"/>
  <c r="C29" i="63" l="1"/>
  <c r="C22" i="63"/>
  <c r="C59" i="63"/>
  <c r="C52" i="63"/>
  <c r="C49" i="63"/>
  <c r="C42" i="63"/>
  <c r="C39" i="63"/>
  <c r="C32" i="63"/>
  <c r="C19" i="63"/>
  <c r="C12" i="63"/>
  <c r="I425" i="41"/>
  <c r="N3" i="41" s="1"/>
  <c r="N98" i="66"/>
  <c r="N146" i="66"/>
  <c r="J425" i="41"/>
  <c r="O3" i="41" s="1"/>
  <c r="H23" i="53"/>
  <c r="G23" i="53" s="1"/>
  <c r="E317" i="38" s="1"/>
  <c r="G17" i="53"/>
  <c r="E305" i="38" s="1"/>
  <c r="G29" i="53"/>
  <c r="E329" i="38" s="1"/>
  <c r="H35" i="53"/>
  <c r="G35" i="53" s="1"/>
  <c r="E341" i="38" s="1"/>
  <c r="N290" i="66"/>
  <c r="G11" i="53"/>
  <c r="E293" i="38" s="1"/>
  <c r="H5" i="53"/>
  <c r="G5" i="53" s="1"/>
  <c r="E281" i="38" s="1"/>
  <c r="N242" i="66"/>
  <c r="N194" i="66"/>
  <c r="H425" i="41"/>
  <c r="M3" i="41" s="1"/>
  <c r="I484" i="37" l="1"/>
  <c r="L97" i="66"/>
  <c r="L241" i="66"/>
  <c r="I484" i="58"/>
  <c r="Y194" i="66"/>
  <c r="Z50" i="66"/>
  <c r="Z194" i="66"/>
  <c r="Y50" i="66"/>
  <c r="Z290" i="66"/>
  <c r="Y146" i="66"/>
  <c r="Z146" i="66"/>
  <c r="Y290" i="66"/>
  <c r="Z242" i="66"/>
  <c r="Z98" i="66"/>
  <c r="Y242" i="66"/>
  <c r="Y98" i="66"/>
  <c r="L49" i="66"/>
  <c r="H484" i="37"/>
  <c r="H484" i="58"/>
  <c r="L193" i="66"/>
  <c r="L289" i="66"/>
  <c r="J484" i="58"/>
  <c r="L145" i="66"/>
  <c r="J484" i="37"/>
  <c r="H484" i="41" l="1"/>
  <c r="J484" i="41"/>
  <c r="P145" i="66"/>
  <c r="N145" i="66"/>
  <c r="P289" i="66"/>
  <c r="N289" i="66"/>
  <c r="R193" i="66"/>
  <c r="T193" i="66" s="1"/>
  <c r="P193" i="66"/>
  <c r="V193" i="66" s="1"/>
  <c r="X193" i="66" s="1"/>
  <c r="N193" i="66"/>
  <c r="P49" i="66"/>
  <c r="V49" i="66" s="1"/>
  <c r="X49" i="66" s="1"/>
  <c r="N49" i="66"/>
  <c r="R49" i="66"/>
  <c r="T49" i="66" s="1"/>
  <c r="P241" i="66"/>
  <c r="N241" i="66"/>
  <c r="P97" i="66"/>
  <c r="N97" i="66"/>
  <c r="I484" i="41"/>
  <c r="O241" i="66" l="1"/>
  <c r="Q241" i="66" s="1"/>
  <c r="R241" i="66" s="1"/>
  <c r="T241" i="66" s="1"/>
  <c r="O289" i="66"/>
  <c r="U289" i="66" s="1"/>
  <c r="O193" i="66"/>
  <c r="U193" i="66" s="1"/>
  <c r="Z49" i="66"/>
  <c r="O49" i="66"/>
  <c r="Z193" i="66"/>
  <c r="Y49" i="66"/>
  <c r="Y193" i="66"/>
  <c r="Z241" i="66"/>
  <c r="O97" i="66"/>
  <c r="Y241" i="66"/>
  <c r="Y97" i="66"/>
  <c r="Z97" i="66"/>
  <c r="Z289" i="66"/>
  <c r="Z145" i="66"/>
  <c r="Y145" i="66"/>
  <c r="Y289" i="66"/>
  <c r="O145" i="66"/>
  <c r="V241" i="66" l="1"/>
  <c r="X241" i="66" s="1"/>
  <c r="U241" i="66"/>
  <c r="Q289" i="66"/>
  <c r="R289" i="66" s="1"/>
  <c r="T289" i="66" s="1"/>
  <c r="V289" i="66"/>
  <c r="X289" i="66" s="1"/>
  <c r="Q193" i="66"/>
  <c r="V145" i="66"/>
  <c r="X145" i="66" s="1"/>
  <c r="U145" i="66"/>
  <c r="Q145" i="66"/>
  <c r="R145" i="66" s="1"/>
  <c r="T145" i="66" s="1"/>
  <c r="U49" i="66"/>
  <c r="Q49" i="66"/>
  <c r="U97" i="66"/>
  <c r="Q97" i="66"/>
  <c r="R97" i="66" s="1"/>
  <c r="T97" i="66" s="1"/>
  <c r="V97" i="66"/>
  <c r="X97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<sst xmlns="http://schemas.openxmlformats.org/spreadsheetml/2006/main" count="4745" uniqueCount="340">
  <si>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</si>
  <si>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</si>
  <si>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</si>
  <si>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</si>
  <si>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</si>
  <si>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</si>
  <si>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</si>
  <si>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</si>
  <si>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</si>
  <si>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</si>
  <si>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</si>
  <si>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</si>
  <si>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</si>
  <si>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</si>
  <si>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</si>
  <si>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</si>
  <si>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</si>
  <si>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</si>
  <si>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</si>
  <si>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</si>
  <si>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</si>
  <si>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</si>
  <si>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</si>
  <si>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</si>
  <si>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</si>
  <si>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</si>
  <si>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</si>
  <si>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</si>
  <si>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</si>
  <si>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</si>
  <si>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</si>
  <si>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</si>
  <si>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</si>
  <si>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</si>
  <si>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</si>
  <si>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</si>
  <si>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</si>
  <si>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</si>
  <si>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</si>
  <si>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</si>
  <si>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</si>
  <si>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</si>
  <si>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</si>
  <si>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</si>
  <si>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</si>
  <si>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</si>
  <si>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</si>
  <si>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</si>
  <si>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</si>
  <si>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</si>
  <si>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</si>
  <si>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</si>
  <si>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</si>
  <si>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</si>
  <si>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</si>
  <si>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</si>
  <si>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</si>
  <si>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</si>
  <si>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</si>
  <si>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</si>
  <si>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</si>
  <si>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</si>
  <si>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</si>
  <si>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</si>
  <si>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</si>
  <si>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</si>
  <si>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</si>
  <si>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</si>
  <si>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</si>
  <si>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</si>
  <si>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</si>
  <si>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</si>
  <si>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</si>
  <si>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</si>
  <si>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</si>
  <si>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</si>
  <si>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</si>
  <si>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</si>
  <si>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</si>
  <si>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</si>
  <si>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</si>
  <si>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</si>
  <si>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</si>
  <si>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</si>
  <si>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</si>
  <si>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</si>
  <si>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</si>
  <si>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</si>
  <si>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</si>
  <si>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</si>
  <si>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</si>
  <si>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</si>
  <si>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</si>
  <si>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</si>
  <si>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</si>
  <si>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</si>
  <si>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</si>
  <si>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</si>
  <si>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</si>
  <si>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</si>
  <si>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</si>
  <si>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</si>
  <si>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</si>
  <si>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</si>
  <si>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</si>
  <si>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</si>
  <si>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</si>
  <si>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</si>
  <si>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</si>
  <si>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</si>
  <si>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</si>
  <si>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</si>
  <si>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</si>
  <si>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</si>
  <si>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</si>
  <si>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</si>
  <si>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</si>
  <si>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</si>
  <si>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</si>
  <si>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</si>
  <si>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</si>
  <si>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</si>
  <si>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</si>
  <si>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</si>
  <si>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</si>
  <si>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</si>
  <si>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</si>
  <si>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</si>
  <si>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</si>
  <si>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</si>
  <si>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</si>
  <si>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</si>
  <si>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</si>
  <si>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</si>
  <si>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</si>
  <si>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</si>
  <si>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</si>
  <si>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</si>
  <si>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</si>
  <si>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</si>
  <si>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</si>
  <si>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</si>
  <si>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</si>
  <si>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</si>
  <si>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</si>
  <si>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</si>
  <si>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</si>
  <si>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</si>
  <si>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</si>
  <si>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</si>
  <si>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</si>
  <si>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</si>
  <si>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</si>
  <si>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</si>
  <si>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</si>
  <si>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</si>
  <si>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</si>
  <si>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</si>
  <si>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</si>
  <si>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</si>
  <si>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</si>
  <si>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</si>
  <si>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</si>
  <si>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</si>
  <si>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</si>
  <si>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</si>
  <si>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</si>
  <si>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</si>
  <si>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</si>
  <si>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</si>
  <si>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</si>
  <si>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</si>
  <si>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</si>
  <si>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</si>
  <si>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</si>
  <si>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</si>
  <si>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</si>
  <si>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</si>
  <si>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</si>
  <si>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</si>
  <si>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</si>
  <si>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</si>
  <si>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</si>
  <si>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</si>
  <si>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</si>
  <si>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</si>
  <si>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</si>
  <si>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</si>
  <si>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</si>
  <si>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</si>
  <si>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</si>
  <si>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</si>
  <si>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</si>
  <si>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</si>
  <si>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</si>
  <si>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</si>
  <si>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</si>
  <si>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</si>
  <si>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</si>
  <si>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</si>
  <si>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</si>
  <si>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</si>
  <si>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</si>
  <si>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</si>
  <si>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</si>
  <si>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</si>
  <si>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</si>
  <si>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</si>
  <si>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</si>
  <si>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</si>
  <si>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</si>
  <si>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</si>
  <si>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</si>
  <si>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</si>
  <si>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</si>
  <si>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</si>
  <si>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</si>
  <si>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</si>
  <si>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</si>
  <si>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</si>
  <si>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</si>
  <si>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</si>
  <si>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</si>
  <si>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</si>
  <si>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</si>
  <si>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</si>
  <si>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</si>
  <si>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</si>
  <si>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</si>
  <si>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</si>
  <si>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</si>
  <si>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</si>
  <si>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</si>
  <si>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</si>
  <si>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</si>
  <si>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</si>
  <si>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</si>
  <si>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</si>
  <si>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</si>
  <si>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</si>
  <si>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</si>
  <si>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</si>
  <si>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</si>
  <si>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</si>
  <si>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</si>
  <si>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</si>
  <si>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</si>
  <si>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</si>
  <si>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</si>
  <si>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</si>
  <si>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</si>
  <si>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</si>
  <si>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</si>
  <si>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</si>
  <si>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</si>
  <si>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</si>
  <si>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</si>
  <si>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</si>
  <si>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</si>
  <si>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</si>
  <si>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</si>
  <si>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</si>
  <si>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</si>
  <si>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</si>
  <si>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</si>
  <si>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</si>
  <si>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</si>
  <si>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</si>
  <si>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</si>
  <si>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</si>
  <si>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</si>
  <si>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</si>
  <si>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</si>
  <si>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</si>
  <si>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</si>
  <si>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</si>
  <si>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</si>
  <si>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</si>
  <si>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</si>
  <si>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</si>
  <si>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</si>
  <si>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</si>
  <si>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</si>
  <si>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</si>
  <si>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</si>
  <si>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</si>
  <si>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</si>
  <si>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</si>
  <si>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</si>
  <si>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</si>
  <si>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</si>
  <si>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</si>
  <si>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</si>
  <si>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</si>
  <si>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</si>
  <si>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</si>
  <si>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</si>
  <si>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</si>
  <si>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</si>
  <si>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</si>
  <si>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</si>
  <si>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</si>
  <si>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</si>
  <si>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</si>
  <si>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</si>
  <si>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</si>
  <si>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</si>
  <si>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</si>
  <si>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</si>
  <si>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</si>
  <si>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</si>
  <si>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</si>
  <si>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</si>
  <si>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</si>
  <si>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</si>
  <si>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</si>
  <si>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</si>
  <si>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</si>
  <si>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</si>
  <si>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</si>
  <si>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</si>
  <si>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</si>
  <si>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</si>
  <si>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</si>
  <si>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</si>
  <si>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</si>
  <si>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</si>
  <si>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</si>
  <si>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</si>
  <si>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</si>
  <si>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</si>
  <si>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</si>
  <si>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</si>
  <si>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</si>
  <si>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</si>
  <si>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</si>
  <si>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</si>
  <si>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</si>
  <si>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</si>
  <si>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BAU-scenariet fra MFVM-projekt minus 20%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</si>
</sst>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7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[Scenarie_BAUm20.xlsm]Arealanvendelse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[Scenarie_BAUm20.xlsm]CO2-pivot!PivotTable1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-341939.42443845799</c:v>
                </c:pt>
                <c:pt idx="2">
                  <c:v>-333215.41168781015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12063584.058048794</c:v>
                </c:pt>
                <c:pt idx="2">
                  <c:v>11119784.467439581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[Scenarie_BAUm20.xlsm]Pivot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[Scenarie_BAUm20.xlsm]Resultat-Potentiale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19.802671473587463</c:v>
                </c:pt>
                <c:pt idx="2">
                  <c:v>19.897035061438991</c:v>
                </c:pt>
                <c:pt idx="3">
                  <c:v>7.483154704207001</c:v>
                </c:pt>
                <c:pt idx="4">
                  <c:v>5.2940684669341902</c:v>
                </c:pt>
                <c:pt idx="5">
                  <c:v>5.3606050360007158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29.979193434395683</c:v>
                </c:pt>
                <c:pt idx="2">
                  <c:v>33.448683466862107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34.963307596754014</c:v>
                </c:pt>
                <c:pt idx="2">
                  <c:v>35.203120058762323</c:v>
                </c:pt>
                <c:pt idx="3">
                  <c:v>0.45076703431999998</c:v>
                </c:pt>
                <c:pt idx="4">
                  <c:v>0.45076703432000004</c:v>
                </c:pt>
                <c:pt idx="5">
                  <c:v>0.45076703432000009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1.6121480112997326</c:v>
                </c:pt>
                <c:pt idx="2">
                  <c:v>1.6892783010056229</c:v>
                </c:pt>
                <c:pt idx="3">
                  <c:v>5.0922829580050024</c:v>
                </c:pt>
                <c:pt idx="4">
                  <c:v>10.028349209867528</c:v>
                </c:pt>
                <c:pt idx="5">
                  <c:v>9.9363705968314342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8.2687093155868077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41.635477473780199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[Scenarie_BAUm20.xlsm]Resultat-Tørstof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1139180.7875059044</c:v>
                </c:pt>
                <c:pt idx="2">
                  <c:v>1157844.6374687571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3537128.2942940318</c:v>
                </c:pt>
                <c:pt idx="2">
                  <c:v>3942201.135585953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3047158.8251946424</c:v>
                </c:pt>
                <c:pt idx="2">
                  <c:v>3077624.9974871776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1594554.0203824949</c:v>
                </c:pt>
                <c:pt idx="2">
                  <c:v>1594716.2651790529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1372767.4962379688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[Scenarie_BAUm20.xlsm]Resultat-Forbrug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57932.073783145664</c:v>
                </c:pt>
                <c:pt idx="5">
                  <c:v>57932.073783145672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1204392.371220411</c:v>
                </c:pt>
                <c:pt idx="2">
                  <c:v>1262014.3338818299</c:v>
                </c:pt>
                <c:pt idx="15">
                  <c:v>823764.99285714305</c:v>
                </c:pt>
                <c:pt idx="16">
                  <c:v>455948.54053344129</c:v>
                </c:pt>
                <c:pt idx="17">
                  <c:v>477762.56925526413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3617.1712242793342</c:v>
                </c:pt>
                <c:pt idx="2">
                  <c:v>3735.45204794039</c:v>
                </c:pt>
                <c:pt idx="15">
                  <c:v>4441.5</c:v>
                </c:pt>
                <c:pt idx="16">
                  <c:v>3617.1712242793342</c:v>
                </c:pt>
                <c:pt idx="17">
                  <c:v>3735.45204794039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85676.999999999985</c:v>
                </c:pt>
                <c:pt idx="3">
                  <c:v>13739757.985270014</c:v>
                </c:pt>
                <c:pt idx="4">
                  <c:v>10991806.388216011</c:v>
                </c:pt>
                <c:pt idx="5">
                  <c:v>10991806.388216011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694380.27326187096</c:v>
                </c:pt>
                <c:pt idx="5">
                  <c:v>694380.27326187096</c:v>
                </c:pt>
                <c:pt idx="9">
                  <c:v>1893765.2125355615</c:v>
                </c:pt>
                <c:pt idx="10">
                  <c:v>2142228.3524030885</c:v>
                </c:pt>
                <c:pt idx="11">
                  <c:v>2039826.6812849408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4336859.4123771554</c:v>
                </c:pt>
                <c:pt idx="5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725968.00000000012</c:v>
                </c:pt>
                <c:pt idx="2">
                  <c:v>723032.00000000012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5280669.4477609023</c:v>
                </c:pt>
                <c:pt idx="5">
                  <c:v>5280669.4477609023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8455021.8174732123</c:v>
                </c:pt>
                <c:pt idx="2">
                  <c:v>8293462.2488436466</c:v>
                </c:pt>
                <c:pt idx="15">
                  <c:v>9696490.333333334</c:v>
                </c:pt>
                <c:pt idx="16">
                  <c:v>2670006.8897283827</c:v>
                </c:pt>
                <c:pt idx="17">
                  <c:v>2618988.0785822044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1361403.7339039231</c:v>
                </c:pt>
                <c:pt idx="5">
                  <c:v>1361403.7339039231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5081125.638063401</c:v>
                </c:pt>
                <c:pt idx="5">
                  <c:v>5081125.638063401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738277.61746310792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28645.000000000007</c:v>
                </c:pt>
                <c:pt idx="3">
                  <c:v>944413.49448565592</c:v>
                </c:pt>
                <c:pt idx="4">
                  <c:v>755530.79558852478</c:v>
                </c:pt>
                <c:pt idx="5">
                  <c:v>755530.79558852478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35402.933978589019</c:v>
                </c:pt>
                <c:pt idx="5">
                  <c:v>35402.933978589019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2765437.867297628</c:v>
                </c:pt>
                <c:pt idx="2">
                  <c:v>2880969.7698136596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7317872.3979037404</c:v>
                </c:pt>
                <c:pt idx="2">
                  <c:v>7005959.4247079371</c:v>
                </c:pt>
                <c:pt idx="15">
                  <c:v>14742130.666666664</c:v>
                </c:pt>
                <c:pt idx="16">
                  <c:v>6489434.013235392</c:v>
                </c:pt>
                <c:pt idx="17">
                  <c:v>6212831.9426655285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225542.84146215921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192302.30047460849</c:v>
                </c:pt>
                <c:pt idx="5">
                  <c:v>192302.30047460849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236248.83758819452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16819605.005375024</c:v>
                </c:pt>
                <c:pt idx="17">
                  <c:v>16405946.393493332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1205503.2861523256</c:v>
                </c:pt>
                <c:pt idx="17">
                  <c:v>1166952.7931766696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[Scenarie_BAUm20.xlsm]Resultat-Import!Import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1205503.2861523256</c:v>
                </c:pt>
                <c:pt idx="2">
                  <c:v>1166952.7931766696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9-4A75-B553-CD2B522EF5E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A9-4A75-B553-CD2B522EF5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[Scenarie_BAUm20.xlsm]Resultat-Eksport!PivotTable3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240738.79472010836</c:v>
                </c:pt>
                <c:pt idx="2">
                  <c:v>251355.52688580981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2948279.9748971234</c:v>
                </c:pt>
                <c:pt idx="2">
                  <c:v>3088580.6906975764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7576872.8456154009</c:v>
                </c:pt>
                <c:pt idx="2">
                  <c:v>8515051.4180946313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3743700.5343613457</c:v>
                </c:pt>
                <c:pt idx="2">
                  <c:v>4122757.2851450909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2961150.4845719668</c:v>
                </c:pt>
                <c:pt idx="2">
                  <c:v>3353627.3013542485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1992661.9607506471</c:v>
                </c:pt>
                <c:pt idx="2">
                  <c:v>2115860.9405659069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163796.94774542924</c:v>
                </c:pt>
                <c:pt idx="2">
                  <c:v>176836.50825694541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6B-418D-9934-54C79CE39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[Scenarie_BAUm20.xlsm]Arealanvendelse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[Scenarie_BAUm20.xlsm]CO2-pivot!PivotTable1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-341939.42443845799</c:v>
                </c:pt>
                <c:pt idx="2">
                  <c:v>-333215.41168781015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12063584.058048794</c:v>
                </c:pt>
                <c:pt idx="2">
                  <c:v>11119784.467439581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[Scenarie_BAUm20.xlsm]Resultat-Import!Import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1205503.2861523256</c:v>
                </c:pt>
                <c:pt idx="2">
                  <c:v>1166952.7931766696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2A3-9937-5217C2CD6C88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2A3-9937-5217C2CD6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[Scenarie_BAUm20.xlsm]Resultat-Eksport!PivotTable3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240738.79472010836</c:v>
                </c:pt>
                <c:pt idx="2">
                  <c:v>251355.52688580981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2948279.9748971234</c:v>
                </c:pt>
                <c:pt idx="2">
                  <c:v>3088580.6906975764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7576872.8456154009</c:v>
                </c:pt>
                <c:pt idx="2">
                  <c:v>8515051.4180946313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3743700.5343613457</c:v>
                </c:pt>
                <c:pt idx="2">
                  <c:v>4122757.2851450909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2961150.4845719668</c:v>
                </c:pt>
                <c:pt idx="2">
                  <c:v>3353627.3013542485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1992661.9607506471</c:v>
                </c:pt>
                <c:pt idx="2">
                  <c:v>2115860.9405659069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163796.94774542924</c:v>
                </c:pt>
                <c:pt idx="2">
                  <c:v>176836.50825694541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4-4233-BB51-0F23B1184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[Scenarie_BAUm20.xlsm]CO2-pivot!PivotTable1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-341939.42443845799</c:v>
                </c:pt>
                <c:pt idx="2">
                  <c:v>-333215.41168781015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12063584.058048794</c:v>
                </c:pt>
                <c:pt idx="2">
                  <c:v>11119784.467439581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[Scenarie_BAUm20.xlsm]Resultat-Import!Import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1205503.2861523256</c:v>
                </c:pt>
                <c:pt idx="2">
                  <c:v>1166952.7931766696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[Scenarie_BAUm20.xlsm]Resultat-Eksport!PivotTable3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240738.79472010836</c:v>
                </c:pt>
                <c:pt idx="2">
                  <c:v>251355.52688580981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2948279.9748971234</c:v>
                </c:pt>
                <c:pt idx="2">
                  <c:v>3088580.6906975764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7576872.8456154009</c:v>
                </c:pt>
                <c:pt idx="2">
                  <c:v>8515051.4180946313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3743700.5343613457</c:v>
                </c:pt>
                <c:pt idx="2">
                  <c:v>4122757.2851450909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2961150.4845719668</c:v>
                </c:pt>
                <c:pt idx="2">
                  <c:v>3353627.3013542485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1992661.9607506471</c:v>
                </c:pt>
                <c:pt idx="2">
                  <c:v>2115860.9405659069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163796.94774542924</c:v>
                </c:pt>
                <c:pt idx="2">
                  <c:v>176836.50825694541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[Scenarie_BAUm20.xlsm]Produkt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51070.720767121515</c:v>
                </c:pt>
                <c:pt idx="2">
                  <c:v>139840.7699921293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[Scenarie_BAUm20.xlsm]Produkt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241091.18051669211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251850.40969066555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[Scenarie_BAUm20.xlsm]Resultat-Forbrug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57932.073783145664</c:v>
                </c:pt>
                <c:pt idx="5">
                  <c:v>57932.073783145672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1204392.371220411</c:v>
                </c:pt>
                <c:pt idx="2">
                  <c:v>1262014.3338818299</c:v>
                </c:pt>
                <c:pt idx="15">
                  <c:v>823764.99285714305</c:v>
                </c:pt>
                <c:pt idx="16">
                  <c:v>455948.54053344129</c:v>
                </c:pt>
                <c:pt idx="17">
                  <c:v>477762.56925526413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3617.1712242793342</c:v>
                </c:pt>
                <c:pt idx="2">
                  <c:v>3735.45204794039</c:v>
                </c:pt>
                <c:pt idx="15">
                  <c:v>4441.5</c:v>
                </c:pt>
                <c:pt idx="16">
                  <c:v>3617.1712242793342</c:v>
                </c:pt>
                <c:pt idx="17">
                  <c:v>3735.45204794039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85676.999999999985</c:v>
                </c:pt>
                <c:pt idx="3">
                  <c:v>13739757.985270014</c:v>
                </c:pt>
                <c:pt idx="4">
                  <c:v>10991806.388216011</c:v>
                </c:pt>
                <c:pt idx="5">
                  <c:v>10991806.388216011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694380.27326187096</c:v>
                </c:pt>
                <c:pt idx="5">
                  <c:v>694380.27326187096</c:v>
                </c:pt>
                <c:pt idx="9">
                  <c:v>1893765.2125355615</c:v>
                </c:pt>
                <c:pt idx="10">
                  <c:v>2142228.3524030885</c:v>
                </c:pt>
                <c:pt idx="11">
                  <c:v>2039826.6812849408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4336859.4123771554</c:v>
                </c:pt>
                <c:pt idx="5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725968.00000000012</c:v>
                </c:pt>
                <c:pt idx="2">
                  <c:v>723032.00000000012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5280669.4477609023</c:v>
                </c:pt>
                <c:pt idx="5">
                  <c:v>5280669.4477609023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8455021.8174732123</c:v>
                </c:pt>
                <c:pt idx="2">
                  <c:v>8293462.2488436466</c:v>
                </c:pt>
                <c:pt idx="15">
                  <c:v>9696490.333333334</c:v>
                </c:pt>
                <c:pt idx="16">
                  <c:v>2670006.8897283827</c:v>
                </c:pt>
                <c:pt idx="17">
                  <c:v>2618988.0785822044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1361403.7339039231</c:v>
                </c:pt>
                <c:pt idx="5">
                  <c:v>1361403.7339039231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5081125.638063401</c:v>
                </c:pt>
                <c:pt idx="5">
                  <c:v>5081125.638063401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738277.61746310792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28645.000000000007</c:v>
                </c:pt>
                <c:pt idx="3">
                  <c:v>944413.49448565592</c:v>
                </c:pt>
                <c:pt idx="4">
                  <c:v>755530.79558852478</c:v>
                </c:pt>
                <c:pt idx="5">
                  <c:v>755530.79558852478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35402.933978589019</c:v>
                </c:pt>
                <c:pt idx="5">
                  <c:v>35402.933978589019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2765437.867297628</c:v>
                </c:pt>
                <c:pt idx="2">
                  <c:v>2880969.7698136596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7317872.3979037404</c:v>
                </c:pt>
                <c:pt idx="2">
                  <c:v>7005959.4247079371</c:v>
                </c:pt>
                <c:pt idx="15">
                  <c:v>14742130.666666664</c:v>
                </c:pt>
                <c:pt idx="16">
                  <c:v>6489434.013235392</c:v>
                </c:pt>
                <c:pt idx="17">
                  <c:v>6212831.9426655285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225542.84146215921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192302.30047460849</c:v>
                </c:pt>
                <c:pt idx="5">
                  <c:v>192302.30047460849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236248.83758819452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16819605.005375024</c:v>
                </c:pt>
                <c:pt idx="17">
                  <c:v>16405946.393493332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1205503.2861523256</c:v>
                </c:pt>
                <c:pt idx="17">
                  <c:v>1166952.7931766696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[Scenarie_BAUm20.xlsm]Resultat-Import!Import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1205503.2861523256</c:v>
                </c:pt>
                <c:pt idx="2">
                  <c:v>1166952.7931766696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[Scenarie_BAUm20.xlsm]Resultat-Eksport!PivotTable3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240738.79472010836</c:v>
                </c:pt>
                <c:pt idx="2">
                  <c:v>251355.52688580981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2948279.9748971234</c:v>
                </c:pt>
                <c:pt idx="2">
                  <c:v>3088580.6906975764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7576872.8456154009</c:v>
                </c:pt>
                <c:pt idx="2">
                  <c:v>8515051.4180946313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3743700.5343613457</c:v>
                </c:pt>
                <c:pt idx="2">
                  <c:v>4122757.2851450909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2961150.4845719668</c:v>
                </c:pt>
                <c:pt idx="2">
                  <c:v>3353627.3013542485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1992661.9607506471</c:v>
                </c:pt>
                <c:pt idx="2">
                  <c:v>2115860.9405659069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163796.94774542924</c:v>
                </c:pt>
                <c:pt idx="2">
                  <c:v>176836.50825694541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[Scenarie_BAUm20.xlsm]Resultat-Potentiale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19.802671473587463</c:v>
                </c:pt>
                <c:pt idx="2">
                  <c:v>19.897035061438991</c:v>
                </c:pt>
                <c:pt idx="3">
                  <c:v>7.483154704207001</c:v>
                </c:pt>
                <c:pt idx="4">
                  <c:v>5.2940684669341902</c:v>
                </c:pt>
                <c:pt idx="5">
                  <c:v>5.3606050360007158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29.979193434395683</c:v>
                </c:pt>
                <c:pt idx="2">
                  <c:v>33.448683466862107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34.963307596754014</c:v>
                </c:pt>
                <c:pt idx="2">
                  <c:v>35.203120058762323</c:v>
                </c:pt>
                <c:pt idx="3">
                  <c:v>0.45076703431999998</c:v>
                </c:pt>
                <c:pt idx="4">
                  <c:v>0.45076703432000004</c:v>
                </c:pt>
                <c:pt idx="5">
                  <c:v>0.45076703432000009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1.6121480112997326</c:v>
                </c:pt>
                <c:pt idx="2">
                  <c:v>1.6892783010056229</c:v>
                </c:pt>
                <c:pt idx="3">
                  <c:v>5.0922829580050024</c:v>
                </c:pt>
                <c:pt idx="4">
                  <c:v>10.028349209867528</c:v>
                </c:pt>
                <c:pt idx="5">
                  <c:v>9.9363705968314342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8.2687093155868077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41.635477473780199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[Scenarie_BAUm20.xlsm]Resultat-Tørstof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1139180.7875059044</c:v>
                </c:pt>
                <c:pt idx="2">
                  <c:v>1157844.6374687571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3537128.2942940318</c:v>
                </c:pt>
                <c:pt idx="2">
                  <c:v>3942201.135585953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3047158.8251946424</c:v>
                </c:pt>
                <c:pt idx="2">
                  <c:v>3077624.9974871776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1594554.0203824949</c:v>
                </c:pt>
                <c:pt idx="2">
                  <c:v>1594716.2651790529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1372767.4962379688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0.17060507458971214</v>
          </cell>
          <cell r="I87">
            <v>0.17060507458971214</v>
          </cell>
          <cell r="J87">
            <v>0.17060507458971214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0.22563896961865154</v>
          </cell>
          <cell r="I88">
            <v>0.22563896961865154</v>
          </cell>
          <cell r="J88">
            <v>0.22563896961865154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2.051145640608</v>
          </cell>
          <cell r="I91">
            <v>2.051145640608</v>
          </cell>
          <cell r="J91">
            <v>2.051145640608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1.1188067130589092</v>
          </cell>
          <cell r="I92">
            <v>1.1188067130589092</v>
          </cell>
          <cell r="J92">
            <v>1.1188067130589092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  <row r="23">
          <cell r="D23">
            <v>3320161.5843531773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0.5798693329878496</v>
          </cell>
        </row>
        <row r="13">
          <cell r="D13">
            <v>2.0295426654574724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2.6094119984453221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125000003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36104134.2428202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893966.0004921574"/>
    </cacheField>
    <cacheField name="Gødning" numFmtId="3">
      <sharedItems containsSemiMixedTypes="0" containsString="0" containsNumber="1" minValue="0" maxValue="14170727.436337013"/>
    </cacheField>
    <cacheField name="Energi" numFmtId="3">
      <sharedItems containsSemiMixedTypes="0" containsString="0" containsNumber="1" minValue="0" maxValue="436104134.24282026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7405775.7619021684"/>
    </cacheField>
    <cacheField name="Potentiale til energi [ton]" numFmtId="3">
      <sharedItems containsSemiMixedTypes="0" containsString="0" containsNumber="1" minValue="0" maxValue="7405775.7619021684"/>
    </cacheField>
    <cacheField name="Forbrug energi [ton/m3]" numFmtId="3">
      <sharedItems containsSemiMixedTypes="0" containsString="0" containsNumber="1" minValue="0" maxValue="436104134.24282026"/>
    </cacheField>
    <cacheField name="Potentiale til energi [PJ]" numFmtId="0">
      <sharedItems containsSemiMixedTypes="0" containsString="0" containsNumber="1" minValue="0" maxValue="13.625701679929753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3.9958466497891258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2073617.2133326074"/>
    </cacheField>
    <cacheField name="Forbrug/potentiale [Ton TS]" numFmtId="0">
      <sharedItems containsSemiMixedTypes="0" containsString="0" containsNumber="1" minValue="0" maxValue="2094764.7883625992"/>
    </cacheField>
    <cacheField name="Biogasproduktion [Ton TS]" numFmtId="0">
      <sharedItems containsSemiMixedTypes="0" containsString="0" containsNumber="1" minValue="0" maxValue="599941.41603740398"/>
    </cacheField>
    <cacheField name="Biomasser til energi eksl. biogas [Ton TS]" numFmtId="0">
      <sharedItems containsSemiMixedTypes="0" containsString="0" containsNumber="1" minValue="0" maxValue="2073617.21333260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125694442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60129.3549508662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125925927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36104134.2428202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893966.0004921574"/>
    </cacheField>
    <cacheField name="Gødning" numFmtId="3">
      <sharedItems containsSemiMixedTypes="0" containsString="0" containsNumber="1" minValue="0" maxValue="14170727.436337013"/>
    </cacheField>
    <cacheField name="Energi" numFmtId="3">
      <sharedItems containsSemiMixedTypes="0" containsString="0" containsNumber="1" minValue="0" maxValue="436104134.24282026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7405775.7619021684"/>
    </cacheField>
    <cacheField name="Potentiale til energi [ton]" numFmtId="3">
      <sharedItems containsSemiMixedTypes="0" containsString="0" containsNumber="1" minValue="0" maxValue="7405775.7619021684"/>
    </cacheField>
    <cacheField name="Forbrug energi [ton/m3]" numFmtId="3">
      <sharedItems containsSemiMixedTypes="0" containsString="0" containsNumber="1" minValue="0" maxValue="436104134.24282026"/>
    </cacheField>
    <cacheField name="Potentiale til energi [PJ]" numFmtId="0">
      <sharedItems containsSemiMixedTypes="0" containsString="0" containsNumber="1" minValue="0" maxValue="13.625701679929753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3.9958466497891258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2073617.2133326074"/>
    </cacheField>
    <cacheField name="Forbrug/potentiale [Ton TS]" numFmtId="0">
      <sharedItems containsSemiMixedTypes="0" containsString="0" containsNumber="1" minValue="0" maxValue="2094764.7883625992"/>
    </cacheField>
    <cacheField name="Biogasproduktion [Ton TS]" numFmtId="0">
      <sharedItems containsSemiMixedTypes="0" containsString="0" containsNumber="1" minValue="0" maxValue="599941.41603740398"/>
    </cacheField>
    <cacheField name="Biomasser til energi eksl. biogas [Ton TS]" numFmtId="0">
      <sharedItems containsSemiMixedTypes="0" containsString="0" containsNumber="1" minValue="0" maxValue="2073617.2133326074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12627315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36104134.2428202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893966.0004921574"/>
    </cacheField>
    <cacheField name="Gødning" numFmtId="3">
      <sharedItems containsSemiMixedTypes="0" containsString="0" containsNumber="1" minValue="0" maxValue="14170727.436337013"/>
    </cacheField>
    <cacheField name="Energi" numFmtId="3">
      <sharedItems containsSemiMixedTypes="0" containsString="0" containsNumber="1" minValue="0" maxValue="436104134.24282026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7405775.7619021684"/>
    </cacheField>
    <cacheField name="Potentiale til energi [ton]" numFmtId="3">
      <sharedItems containsSemiMixedTypes="0" containsString="0" containsNumber="1" minValue="0" maxValue="7405775.7619021684"/>
    </cacheField>
    <cacheField name="Forbrug energi [ton/m3]" numFmtId="3">
      <sharedItems containsSemiMixedTypes="0" containsString="0" containsNumber="1" minValue="0" maxValue="436104134.24282026"/>
    </cacheField>
    <cacheField name="Potentiale til energi [PJ]" numFmtId="0">
      <sharedItems containsSemiMixedTypes="0" containsString="0" containsNumber="1" minValue="0" maxValue="13.625701679929753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3.9958466497891258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2073617.2133326074"/>
    </cacheField>
    <cacheField name="Forbrug/potentiale [Ton TS]" numFmtId="0">
      <sharedItems containsSemiMixedTypes="0" containsString="0" containsNumber="1" minValue="0" maxValue="2094764.7883625992"/>
    </cacheField>
    <cacheField name="Biogasproduktion [Ton TS]" numFmtId="0">
      <sharedItems containsSemiMixedTypes="0" containsString="0" containsNumber="1" minValue="0" maxValue="599941.41603740398"/>
    </cacheField>
    <cacheField name="Biomasser til energi eksl. biogas [Ton TS]" numFmtId="0">
      <sharedItems containsSemiMixedTypes="0" containsString="0" containsNumber="1" minValue="0" maxValue="2073617.2133326074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126504628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126736112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7271454.742987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126967589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127083335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4170727.4363370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51598.780380153592"/>
    <n v="0"/>
    <n v="0"/>
    <n v="0"/>
    <n v="0"/>
    <n v="0"/>
    <n v="0"/>
    <n v="218519.66268109329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436104134.24282026"/>
    <n v="0"/>
    <n v="0"/>
    <n v="0"/>
    <n v="0"/>
    <n v="0"/>
    <n v="436104134.24282026"/>
    <n v="0"/>
    <n v="0"/>
    <n v="0"/>
    <n v="436104134.24282026"/>
    <n v="0"/>
    <n v="0"/>
    <n v="0"/>
    <n v="0"/>
    <n v="0"/>
    <n v="0"/>
    <n v="0"/>
    <n v="0"/>
  </r>
  <r>
    <x v="4"/>
    <x v="10"/>
    <n v="0"/>
    <x v="1"/>
    <s v="Vestdanmark"/>
    <n v="16654690.164173149"/>
    <n v="0"/>
    <n v="0"/>
    <n v="0"/>
    <n v="0"/>
    <n v="14170727.436337013"/>
    <n v="0"/>
    <n v="0"/>
    <n v="2483962.7278361358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6674.1809084363849"/>
    <n v="0"/>
    <n v="0"/>
    <n v="0"/>
    <n v="3337.0904542181925"/>
    <n v="3337.0904542181925"/>
    <n v="0"/>
    <n v="0"/>
    <n v="0"/>
    <n v="0"/>
    <n v="3337.0904542181925"/>
    <n v="0"/>
    <n v="1.5694002697142738E-3"/>
    <n v="1.5694002697142738E-3"/>
    <n v="0"/>
    <n v="0"/>
    <n v="210.23669861574612"/>
    <n v="210.23669861574612"/>
    <n v="0"/>
  </r>
  <r>
    <x v="9"/>
    <x v="10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9790151.9274066389"/>
    <n v="0"/>
    <n v="0"/>
    <n v="75614.059561949907"/>
    <n v="0"/>
    <n v="0"/>
    <n v="0"/>
    <n v="6597597.615337275"/>
    <n v="6597597.615337275"/>
    <n v="75614.059561949907"/>
    <n v="12.138754912518669"/>
    <n v="12.277875330355212"/>
    <n v="0.13912041783654258"/>
    <n v="12.138754912518669"/>
    <n v="1847327.3322944371"/>
    <n v="1868499.2689717831"/>
    <n v="21171.936677345977"/>
    <n v="1847327.3322944371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618468.71483434096"/>
    <n v="581579.9632190367"/>
    <n v="0"/>
    <n v="53644.580306161413"/>
    <n v="0"/>
    <n v="1385491.0293729189"/>
    <n v="0"/>
    <n v="0"/>
    <n v="0"/>
    <n v="1439135.6096790803"/>
    <n v="0"/>
    <n v="14.629456937744798"/>
    <n v="0.30928997353838589"/>
    <n v="14.320166964206413"/>
    <n v="0"/>
    <n v="1223265.2682272182"/>
    <n v="45597.893260237201"/>
    <n v="1177667.3749669809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</r>
  <r>
    <x v="19"/>
    <x v="1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4703372.1615964994"/>
    <n v="0"/>
    <n v="295933.04302308214"/>
    <n v="2833.9333697705197"/>
    <n v="0"/>
    <n v="0"/>
    <n v="0"/>
    <n v="2169017.6219496708"/>
    <n v="2169017.6219496708"/>
    <n v="2833.9333697705197"/>
    <n v="7.4285816927105506"/>
    <n v="7.438287517751343"/>
    <n v="9.7058250407922632E-3"/>
    <n v="7.4285816927105506"/>
    <n v="672395.46280439792"/>
    <n v="673273.98214902682"/>
    <n v="878.51934462886106"/>
    <n v="672395.46280439792"/>
  </r>
  <r>
    <x v="23"/>
    <x v="10"/>
    <n v="0"/>
    <x v="1"/>
    <s v="Vestdanmark"/>
    <n v="0"/>
    <n v="0"/>
    <n v="0"/>
    <n v="0"/>
    <n v="0"/>
    <n v="809729.86780953256"/>
    <n v="0"/>
    <n v="0"/>
    <n v="-809729.86780953256"/>
    <n v="0"/>
    <n v="0"/>
    <n v="0"/>
    <n v="0"/>
    <n v="0"/>
    <n v="0"/>
    <n v="0"/>
    <n v="0"/>
    <n v="0"/>
    <n v="0"/>
  </r>
  <r>
    <x v="24"/>
    <x v="2"/>
    <n v="1"/>
    <x v="1"/>
    <s v="Vestdanmark"/>
    <n v="10386797.369068628"/>
    <n v="0"/>
    <n v="0"/>
    <n v="0"/>
    <n v="7893966.0004921574"/>
    <n v="2492831.3685764708"/>
    <n v="0"/>
    <n v="0"/>
    <n v="0"/>
    <n v="0"/>
    <n v="7893966.0004921574"/>
    <n v="0"/>
    <n v="3.9958466497891258"/>
    <n v="3.9958466497891258"/>
    <n v="0"/>
    <n v="0"/>
    <n v="599941.41603740398"/>
    <n v="599941.41603740398"/>
    <n v="0"/>
  </r>
  <r>
    <x v="25"/>
    <x v="10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4525643.0291759707"/>
    <n v="0"/>
    <n v="0"/>
    <n v="314692.31350359169"/>
    <n v="0"/>
    <n v="0"/>
    <n v="0"/>
    <n v="3142972.4098101053"/>
    <n v="2961150.4845719668"/>
    <n v="314692.31350359169"/>
    <n v="10.630530239613362"/>
    <n v="11.760275645091257"/>
    <n v="1.1297454054778944"/>
    <n v="10.630530239613362"/>
    <n v="888345.14537159004"/>
    <n v="982752.83942266752"/>
    <n v="94407.694051077502"/>
    <n v="888345.14537159004"/>
  </r>
  <r>
    <x v="27"/>
    <x v="10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171279.2848730098"/>
    <n v="0"/>
    <n v="0"/>
    <n v="0"/>
    <n v="0"/>
    <n v="0"/>
    <n v="0"/>
    <n v="82616.067703844164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672934.09412450308"/>
    <n v="0"/>
    <n v="0"/>
    <n v="4075.7207832735812"/>
    <n v="0"/>
    <n v="0"/>
    <n v="0"/>
    <n v="-281910.65780216159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</r>
  <r>
    <x v="40"/>
    <x v="10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</r>
  <r>
    <x v="41"/>
    <x v="1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</r>
  <r>
    <x v="42"/>
    <x v="2"/>
    <n v="1"/>
    <x v="1"/>
    <s v="Vestdanmark"/>
    <n v="12059866.540704856"/>
    <n v="0"/>
    <n v="0"/>
    <n v="0"/>
    <n v="6391729.2665735735"/>
    <n v="5668137.2741312822"/>
    <n v="0"/>
    <n v="0"/>
    <n v="0"/>
    <n v="0"/>
    <n v="6391729.2665735735"/>
    <n v="0"/>
    <n v="2.7535569680398959"/>
    <n v="2.7535569680398959"/>
    <n v="0"/>
    <n v="0"/>
    <n v="319586.46332867868"/>
    <n v="319586.46332867868"/>
    <n v="0"/>
  </r>
  <r>
    <x v="43"/>
    <x v="10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</r>
  <r>
    <x v="1"/>
    <x v="10"/>
    <n v="0"/>
    <x v="2"/>
    <s v="Vestdanmark"/>
    <n v="279414.6339744032"/>
    <n v="51598.780380153592"/>
    <n v="0"/>
    <n v="0"/>
    <n v="0"/>
    <n v="0"/>
    <n v="0"/>
    <n v="0"/>
    <n v="227815.85359424961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34305248.86575383"/>
    <n v="0"/>
    <n v="0"/>
    <n v="0"/>
    <n v="0"/>
    <n v="0"/>
    <n v="434305248.86575383"/>
    <n v="0"/>
    <n v="0"/>
    <n v="0"/>
    <n v="434305248.86575383"/>
    <n v="0"/>
    <n v="0"/>
    <n v="0"/>
    <n v="0"/>
    <n v="0"/>
    <n v="0"/>
    <n v="0"/>
    <n v="0"/>
  </r>
  <r>
    <x v="4"/>
    <x v="10"/>
    <n v="0"/>
    <x v="2"/>
    <s v="Vestdanmark"/>
    <n v="16361961.782417906"/>
    <n v="0"/>
    <n v="0"/>
    <n v="0"/>
    <n v="0"/>
    <n v="13769683.498114759"/>
    <n v="0"/>
    <n v="0"/>
    <n v="2592278.2843031473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6892.4253779859373"/>
    <n v="0"/>
    <n v="0"/>
    <n v="0"/>
    <n v="3446.2126889929687"/>
    <n v="3446.2126889929687"/>
    <n v="0"/>
    <n v="0"/>
    <n v="0"/>
    <n v="0"/>
    <n v="3446.2126889929687"/>
    <n v="0"/>
    <n v="1.6207193655065032E-3"/>
    <n v="1.6207193655065032E-3"/>
    <n v="0"/>
    <n v="0"/>
    <n v="217.11139940655701"/>
    <n v="217.11139940655701"/>
    <n v="0"/>
  </r>
  <r>
    <x v="9"/>
    <x v="10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</r>
  <r>
    <x v="10"/>
    <x v="10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</r>
  <r>
    <x v="11"/>
    <x v="10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7271454.74298735"/>
    <n v="9790151.9274066389"/>
    <n v="0"/>
    <n v="0"/>
    <n v="75527.053678542026"/>
    <n v="0"/>
    <n v="0"/>
    <n v="0"/>
    <n v="7405775.7619021684"/>
    <n v="7405775.7619021684"/>
    <n v="75527.053678542026"/>
    <n v="13.625701679929753"/>
    <n v="13.76466201781656"/>
    <n v="0.13896033788680751"/>
    <n v="13.625701679929753"/>
    <n v="2073617.2133326074"/>
    <n v="2094764.7883625992"/>
    <n v="21147.575029991771"/>
    <n v="2073617.2133326074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618468.71483434096"/>
    <n v="579210.80448009283"/>
    <n v="0"/>
    <n v="53363.755309158871"/>
    <n v="0"/>
    <n v="1303036.156330572"/>
    <n v="0"/>
    <n v="0"/>
    <n v="0"/>
    <n v="1356399.9116397309"/>
    <n v="0"/>
    <n v="13.775600230507971"/>
    <n v="0.30767086578516784"/>
    <n v="13.467929364722803"/>
    <n v="0"/>
    <n v="1152939.9248937713"/>
    <n v="45359.192012785039"/>
    <n v="1107580.7328809863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</r>
  <r>
    <x v="19"/>
    <x v="1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</r>
  <r>
    <x v="20"/>
    <x v="10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</r>
  <r>
    <x v="21"/>
    <x v="10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</r>
  <r>
    <x v="22"/>
    <x v="5"/>
    <n v="1"/>
    <x v="2"/>
    <s v="Vestdanmark"/>
    <n v="7450959.0772760846"/>
    <n v="4703372.1615964994"/>
    <n v="0"/>
    <n v="307470.55071854044"/>
    <n v="2825.7560217041437"/>
    <n v="0"/>
    <n v="0"/>
    <n v="0"/>
    <n v="2437290.6089393403"/>
    <n v="2437290.6089393403"/>
    <n v="2825.7560217041437"/>
    <n v="8.3473791149319911"/>
    <n v="8.3570569337004841"/>
    <n v="9.6778187684936554E-3"/>
    <n v="8.3473791149319911"/>
    <n v="755560.0887711955"/>
    <n v="756436.07313792373"/>
    <n v="875.9843667282845"/>
    <n v="755560.08877119538"/>
  </r>
  <r>
    <x v="23"/>
    <x v="10"/>
    <n v="0"/>
    <x v="2"/>
    <s v="Vestdanmark"/>
    <n v="0"/>
    <n v="0"/>
    <n v="0"/>
    <n v="0"/>
    <n v="0"/>
    <n v="781289.12421925121"/>
    <n v="0"/>
    <n v="0"/>
    <n v="-781289.12421925121"/>
    <n v="0"/>
    <n v="0"/>
    <n v="0"/>
    <n v="0"/>
    <n v="0"/>
    <n v="0"/>
    <n v="0"/>
    <n v="0"/>
    <n v="0"/>
    <n v="0"/>
  </r>
  <r>
    <x v="24"/>
    <x v="2"/>
    <n v="1"/>
    <x v="2"/>
    <s v="Vestdanmark"/>
    <n v="10188325.202039858"/>
    <n v="0"/>
    <n v="0"/>
    <n v="0"/>
    <n v="7743127.1535502924"/>
    <n v="2445198.048489566"/>
    <n v="0"/>
    <n v="0"/>
    <n v="0"/>
    <n v="0"/>
    <n v="7743127.1535502924"/>
    <n v="0"/>
    <n v="3.9194935338556229"/>
    <n v="3.9194935338556229"/>
    <n v="0"/>
    <n v="0"/>
    <n v="588477.66366982216"/>
    <n v="588477.66366982216"/>
    <n v="0"/>
  </r>
  <r>
    <x v="25"/>
    <x v="10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</r>
  <r>
    <x v="26"/>
    <x v="4"/>
    <n v="1"/>
    <x v="2"/>
    <s v="Vestdanmark"/>
    <n v="8353109.1121058436"/>
    <n v="4525643.0291759707"/>
    <n v="0"/>
    <n v="0"/>
    <n v="314525.12457946909"/>
    <n v="0"/>
    <n v="0"/>
    <n v="0"/>
    <n v="3512940.9583504042"/>
    <n v="3353627.3013542485"/>
    <n v="314525.12457946909"/>
    <n v="12.039522011861754"/>
    <n v="13.168667209102049"/>
    <n v="1.1291451972402942"/>
    <n v="12.039522011861754"/>
    <n v="1006088.1904062745"/>
    <n v="1100445.7277801153"/>
    <n v="94357.537373840722"/>
    <n v="1006088.1904062746"/>
  </r>
  <r>
    <x v="27"/>
    <x v="10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</r>
  <r>
    <x v="30"/>
    <x v="10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</r>
  <r>
    <x v="31"/>
    <x v="7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</r>
  <r>
    <x v="35"/>
    <x v="10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62311.54417595419"/>
    <n v="171279.2848730098"/>
    <n v="0"/>
    <n v="0"/>
    <n v="0"/>
    <n v="0"/>
    <n v="0"/>
    <n v="0"/>
    <n v="91032.259302944381"/>
    <n v="0"/>
    <n v="0"/>
    <n v="0"/>
    <n v="0"/>
    <n v="0"/>
    <n v="0"/>
    <n v="0"/>
    <n v="0"/>
    <n v="0"/>
    <n v="0"/>
  </r>
  <r>
    <x v="37"/>
    <x v="9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</r>
  <r>
    <x v="38"/>
    <x v="4"/>
    <n v="1"/>
    <x v="2"/>
    <s v="Vestdanmark"/>
    <n v="408411.71044063132"/>
    <n v="672934.09412450308"/>
    <n v="0"/>
    <n v="0"/>
    <n v="4034.0707756292709"/>
    <n v="0"/>
    <n v="0"/>
    <n v="0"/>
    <n v="-268556.45445950102"/>
    <n v="0"/>
    <n v="4034.0707756292709"/>
    <n v="0"/>
    <n v="1.0948629447888866E-2"/>
    <n v="1.0948629447888866E-2"/>
    <n v="0"/>
    <n v="0"/>
    <n v="806.8141551258542"/>
    <n v="806.8141551258542"/>
    <n v="0"/>
  </r>
  <r>
    <x v="39"/>
    <x v="10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</r>
  <r>
    <x v="40"/>
    <x v="10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</r>
  <r>
    <x v="41"/>
    <x v="1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</r>
  <r>
    <x v="42"/>
    <x v="2"/>
    <n v="1"/>
    <x v="2"/>
    <s v="Vestdanmark"/>
    <n v="11545833.414063649"/>
    <n v="0"/>
    <n v="0"/>
    <n v="0"/>
    <n v="6119291.7094537346"/>
    <n v="5426541.7046099147"/>
    <n v="0"/>
    <n v="0"/>
    <n v="0"/>
    <n v="0"/>
    <n v="6119291.7094537346"/>
    <n v="0"/>
    <n v="2.6361908684326694"/>
    <n v="2.6361908684326694"/>
    <n v="0"/>
    <n v="0"/>
    <n v="305964.58547268674"/>
    <n v="305964.58547268674"/>
    <n v="0"/>
  </r>
  <r>
    <x v="43"/>
    <x v="10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</r>
  <r>
    <x v="47"/>
    <x v="10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6333.2934029920762"/>
    <n v="0"/>
    <n v="0"/>
    <n v="0"/>
    <n v="0"/>
    <n v="0"/>
    <n v="0"/>
    <n v="22219.132039015061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3250703.76009664"/>
    <n v="0"/>
    <n v="0"/>
    <n v="0"/>
    <n v="0"/>
    <n v="0"/>
    <n v="103250703.76009664"/>
    <n v="0"/>
    <n v="0"/>
    <n v="0"/>
    <n v="103250703.76009664"/>
    <n v="0"/>
    <n v="0"/>
    <n v="0"/>
    <n v="0"/>
    <n v="0"/>
    <n v="0"/>
    <n v="0"/>
    <n v="0"/>
  </r>
  <r>
    <x v="4"/>
    <x v="10"/>
    <n v="0"/>
    <x v="1"/>
    <s v="Østdanmark"/>
    <n v="3113194.8160989988"/>
    <n v="0"/>
    <n v="0"/>
    <n v="0"/>
    <n v="0"/>
    <n v="2648877.5690380111"/>
    <n v="0"/>
    <n v="0"/>
    <n v="464317.24706098763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560.16154012228367"/>
    <n v="0"/>
    <n v="0"/>
    <n v="0"/>
    <n v="280.08077006114183"/>
    <n v="280.08077006114183"/>
    <n v="0"/>
    <n v="0"/>
    <n v="0"/>
    <n v="0"/>
    <n v="280.08077006114183"/>
    <n v="0"/>
    <n v="1.317191853520544E-4"/>
    <n v="1.317191853520544E-4"/>
    <n v="0"/>
    <n v="0"/>
    <n v="17.645088513851935"/>
    <n v="17.645088513851935"/>
    <n v="0"/>
  </r>
  <r>
    <x v="9"/>
    <x v="10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201654.4608093714"/>
    <n v="0"/>
    <n v="0"/>
    <n v="10062.940438050116"/>
    <n v="0"/>
    <n v="0"/>
    <n v="0"/>
    <n v="979275.23027812573"/>
    <n v="979275.23027812573"/>
    <n v="10062.940438050116"/>
    <n v="1.8017440143079666"/>
    <n v="1.820258566846424"/>
    <n v="1.8514552538457459E-2"/>
    <n v="1.8017440143079666"/>
    <n v="274197.06447787525"/>
    <n v="277014.68780052924"/>
    <n v="2817.623322654033"/>
    <n v="274197.06447787519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75911.558427530035"/>
    <n v="82816.687681498166"/>
    <n v="0"/>
    <n v="22289.419693838598"/>
    <n v="0"/>
    <n v="756737.32303016982"/>
    <n v="0"/>
    <n v="0"/>
    <n v="0"/>
    <n v="779026.74272400839"/>
    <n v="0"/>
    <n v="7.9500009612564133"/>
    <n v="0.1285105408216142"/>
    <n v="7.8214904204347988"/>
    <n v="0"/>
    <n v="662172.73131540709"/>
    <n v="18946.006739762808"/>
    <n v="643226.72457564424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</r>
  <r>
    <x v="19"/>
    <x v="1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577297.28616440261"/>
    <n v="0"/>
    <n v="256234.83946537593"/>
    <n v="952.06663022948101"/>
    <n v="0"/>
    <n v="0"/>
    <n v="0"/>
    <n v="1574682.9124116749"/>
    <n v="1574682.9124116749"/>
    <n v="952.06663022948101"/>
    <n v="5.3930685194022496"/>
    <n v="5.3963292143214572"/>
    <n v="3.2606949192077409E-3"/>
    <n v="5.3930685194022496"/>
    <n v="488151.70284761919"/>
    <n v="488446.84350299038"/>
    <n v="295.14065537113913"/>
    <n v="488151.70284761925"/>
  </r>
  <r>
    <x v="23"/>
    <x v="10"/>
    <n v="0"/>
    <x v="1"/>
    <s v="Østdanmark"/>
    <n v="0"/>
    <n v="0"/>
    <n v="0"/>
    <n v="0"/>
    <n v="0"/>
    <n v="395773.41834279301"/>
    <n v="0"/>
    <n v="0"/>
    <n v="-395773.41834279301"/>
    <n v="0"/>
    <n v="0"/>
    <n v="0"/>
    <n v="0"/>
    <n v="0"/>
    <n v="0"/>
    <n v="0"/>
    <n v="0"/>
    <n v="0"/>
    <n v="0"/>
  </r>
  <r>
    <x v="24"/>
    <x v="2"/>
    <n v="1"/>
    <x v="1"/>
    <s v="Østdanmark"/>
    <n v="738231.33813296724"/>
    <n v="0"/>
    <n v="0"/>
    <n v="0"/>
    <n v="561055.81698105508"/>
    <n v="177175.52115191214"/>
    <n v="0"/>
    <n v="0"/>
    <n v="0"/>
    <n v="0"/>
    <n v="561055.81698105508"/>
    <n v="0"/>
    <n v="0.28400084399764031"/>
    <n v="0.28400084399764031"/>
    <n v="0"/>
    <n v="0"/>
    <n v="42640.242090560183"/>
    <n v="42640.242090560183"/>
    <n v="0"/>
  </r>
  <r>
    <x v="25"/>
    <x v="10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555482.60888742993"/>
    <n v="0"/>
    <n v="0"/>
    <n v="15333.686496408332"/>
    <n v="0"/>
    <n v="0"/>
    <n v="0"/>
    <n v="-181821.92523813841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21023.015601598698"/>
    <n v="0"/>
    <n v="0"/>
    <n v="0"/>
    <n v="0"/>
    <n v="0"/>
    <n v="0"/>
    <n v="81180.880041585086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82596.701464021666"/>
    <n v="0"/>
    <n v="0"/>
    <n v="24569.279216726416"/>
    <n v="0"/>
    <n v="0"/>
    <n v="0"/>
    <n v="2274572.6185528086"/>
    <n v="1992661.9607506471"/>
    <n v="24569.279216726416"/>
    <n v="5.4081642679556863"/>
    <n v="5.4748462745210507"/>
    <n v="6.668200656536416E-2"/>
    <n v="5.4081642679556863"/>
    <n v="398532.39215012942"/>
    <n v="403446.24799347471"/>
    <n v="4913.8558433452836"/>
    <n v="398532.39215012942"/>
  </r>
  <r>
    <x v="39"/>
    <x v="10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</r>
  <r>
    <x v="40"/>
    <x v="10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</r>
  <r>
    <x v="41"/>
    <x v="1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</r>
  <r>
    <x v="42"/>
    <x v="2"/>
    <n v="1"/>
    <x v="1"/>
    <s v="Østdanmark"/>
    <n v="1747439.8704342765"/>
    <n v="0"/>
    <n v="0"/>
    <n v="0"/>
    <n v="926143.13133016659"/>
    <n v="821296.73910410993"/>
    <n v="0"/>
    <n v="0"/>
    <n v="0"/>
    <n v="0"/>
    <n v="926143.13133016659"/>
    <n v="0"/>
    <n v="0.39898246097703582"/>
    <n v="0.39898246097703582"/>
    <n v="0"/>
    <n v="0"/>
    <n v="46307.156566508333"/>
    <n v="46307.156566508333"/>
    <n v="0"/>
  </r>
  <r>
    <x v="43"/>
    <x v="10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</r>
  <r>
    <x v="1"/>
    <x v="10"/>
    <n v="0"/>
    <x v="2"/>
    <s v="Østdanmark"/>
    <n v="29872.966694552277"/>
    <n v="6333.293402992078"/>
    <n v="0"/>
    <n v="0"/>
    <n v="0"/>
    <n v="0"/>
    <n v="0"/>
    <n v="0"/>
    <n v="23539.673291560197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4340897.10458454"/>
    <n v="0"/>
    <n v="0"/>
    <n v="0"/>
    <n v="0"/>
    <n v="0"/>
    <n v="104340897.10458454"/>
    <n v="0"/>
    <n v="0"/>
    <n v="0"/>
    <n v="104340897.10458454"/>
    <n v="0"/>
    <n v="0"/>
    <n v="0"/>
    <n v="0"/>
    <n v="0"/>
    <n v="0"/>
    <n v="0"/>
    <n v="0"/>
  </r>
  <r>
    <x v="4"/>
    <x v="10"/>
    <n v="0"/>
    <x v="2"/>
    <s v="Østdanmark"/>
    <n v="3132565.3017730014"/>
    <n v="0"/>
    <n v="0"/>
    <n v="0"/>
    <n v="0"/>
    <n v="2636262.8953785724"/>
    <n v="0"/>
    <n v="0"/>
    <n v="496302.40639442904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578.47871789484248"/>
    <n v="0"/>
    <n v="0"/>
    <n v="0"/>
    <n v="289.23935894742124"/>
    <n v="289.23935894742124"/>
    <n v="0"/>
    <n v="0"/>
    <n v="0"/>
    <n v="0"/>
    <n v="289.23935894742124"/>
    <n v="0"/>
    <n v="1.3602637811938273E-4"/>
    <n v="1.3602637811938273E-4"/>
    <n v="0"/>
    <n v="0"/>
    <n v="18.222079613687537"/>
    <n v="18.222079613687537"/>
    <n v="0"/>
  </r>
  <r>
    <x v="9"/>
    <x v="10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</r>
  <r>
    <x v="10"/>
    <x v="10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</r>
  <r>
    <x v="11"/>
    <x v="10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321080.0633232924"/>
    <n v="1201654.4608093717"/>
    <n v="0"/>
    <n v="0"/>
    <n v="10149.946321457955"/>
    <n v="0"/>
    <n v="0"/>
    <n v="0"/>
    <n v="1109275.6561924629"/>
    <n v="1109275.6561924629"/>
    <n v="10149.946321457955"/>
    <n v="2.0409285479371078"/>
    <n v="2.0596031804253001"/>
    <n v="1.8674632488192455E-2"/>
    <n v="2.0409285479371078"/>
    <n v="310597.18373388966"/>
    <n v="313439.16870389786"/>
    <n v="2841.9849700082277"/>
    <n v="310597.1837338896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75911.55842753005"/>
    <n v="82449.939525946174"/>
    <n v="0"/>
    <n v="22570.244690841144"/>
    <n v="0"/>
    <n v="736790.52495436871"/>
    <n v="0"/>
    <n v="0"/>
    <n v="0"/>
    <n v="759360.76964520989"/>
    <n v="0"/>
    <n v="7.7454538270123328"/>
    <n v="0.13012964857483225"/>
    <n v="7.6153241784375005"/>
    <n v="0"/>
    <n v="645456.65419842838"/>
    <n v="19184.707987214973"/>
    <n v="626271.94621121336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</r>
  <r>
    <x v="19"/>
    <x v="1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</r>
  <r>
    <x v="20"/>
    <x v="10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</r>
  <r>
    <x v="21"/>
    <x v="10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</r>
  <r>
    <x v="22"/>
    <x v="5"/>
    <n v="1"/>
    <x v="2"/>
    <s v="Østdanmark"/>
    <n v="2531973.2246977086"/>
    <n v="577297.28616440273"/>
    <n v="0"/>
    <n v="268249.01834925939"/>
    <n v="960.24397829585621"/>
    <n v="0"/>
    <n v="0"/>
    <n v="0"/>
    <n v="1685466.6762057506"/>
    <n v="1685466.6762057506"/>
    <n v="960.24397829585621"/>
    <n v="5.7724874006700277"/>
    <n v="5.7757761018615339"/>
    <n v="3.2887011915063466E-3"/>
    <n v="5.7724874006700277"/>
    <n v="522494.66962378268"/>
    <n v="522792.34525705443"/>
    <n v="297.67563327171541"/>
    <n v="522494.66962378274"/>
  </r>
  <r>
    <x v="23"/>
    <x v="10"/>
    <n v="0"/>
    <x v="2"/>
    <s v="Østdanmark"/>
    <n v="0"/>
    <n v="0"/>
    <n v="0"/>
    <n v="0"/>
    <n v="0"/>
    <n v="385663.66895741841"/>
    <n v="0"/>
    <n v="0"/>
    <n v="-385663.66895741841"/>
    <n v="0"/>
    <n v="0"/>
    <n v="0"/>
    <n v="0"/>
    <n v="0"/>
    <n v="0"/>
    <n v="0"/>
    <n v="0"/>
    <n v="0"/>
    <n v="0"/>
  </r>
  <r>
    <x v="24"/>
    <x v="2"/>
    <n v="1"/>
    <x v="2"/>
    <s v="Østdanmark"/>
    <n v="724125.12538599269"/>
    <n v="0"/>
    <n v="0"/>
    <n v="0"/>
    <n v="550335.09529335448"/>
    <n v="173790.03009263825"/>
    <n v="0"/>
    <n v="0"/>
    <n v="0"/>
    <n v="0"/>
    <n v="550335.09529335448"/>
    <n v="0"/>
    <n v="0.27857412188654312"/>
    <n v="0.27857412188654312"/>
    <n v="0"/>
    <n v="0"/>
    <n v="41825.467242294937"/>
    <n v="41825.467242294937"/>
    <n v="0"/>
  </r>
  <r>
    <x v="25"/>
    <x v="10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</r>
  <r>
    <x v="26"/>
    <x v="4"/>
    <n v="1"/>
    <x v="2"/>
    <s v="Østdanmark"/>
    <n v="411669.82731180527"/>
    <n v="555482.60888743005"/>
    <n v="0"/>
    <n v="0"/>
    <n v="15500.875420530891"/>
    <n v="0"/>
    <n v="0"/>
    <n v="0"/>
    <n v="-159313.65699615568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</r>
  <r>
    <x v="30"/>
    <x v="10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</r>
  <r>
    <x v="31"/>
    <x v="7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</r>
  <r>
    <x v="35"/>
    <x v="10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</r>
  <r>
    <x v="36"/>
    <x v="10"/>
    <n v="0"/>
    <x v="2"/>
    <s v="Østdanmark"/>
    <n v="106827.26455559974"/>
    <n v="21023.015601598701"/>
    <n v="0"/>
    <n v="0"/>
    <n v="0"/>
    <n v="0"/>
    <n v="0"/>
    <n v="0"/>
    <n v="85804.248954001043"/>
    <n v="0"/>
    <n v="0"/>
    <n v="0"/>
    <n v="0"/>
    <n v="0"/>
    <n v="0"/>
    <n v="0"/>
    <n v="0"/>
    <n v="0"/>
    <n v="0"/>
  </r>
  <r>
    <x v="37"/>
    <x v="9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</r>
  <r>
    <x v="38"/>
    <x v="4"/>
    <n v="1"/>
    <x v="2"/>
    <s v="Østdanmark"/>
    <n v="2491625.0257138005"/>
    <n v="82596.70146402168"/>
    <n v="0"/>
    <n v="0"/>
    <n v="24610.929224370735"/>
    <n v="0"/>
    <n v="0"/>
    <n v="0"/>
    <n v="2384417.3950254079"/>
    <n v="2115860.9405659069"/>
    <n v="24610.929224370735"/>
    <n v="5.7425312271334938"/>
    <n v="5.8093262734856053"/>
    <n v="6.6795046352111156E-2"/>
    <n v="5.7425312271334938"/>
    <n v="423172.18811318139"/>
    <n v="428094.37395805551"/>
    <n v="4922.1858448741477"/>
    <n v="423172.18811318139"/>
  </r>
  <r>
    <x v="39"/>
    <x v="10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</r>
  <r>
    <x v="40"/>
    <x v="10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</r>
  <r>
    <x v="41"/>
    <x v="1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</r>
  <r>
    <x v="42"/>
    <x v="2"/>
    <n v="1"/>
    <x v="2"/>
    <s v="Østdanmark"/>
    <n v="1672957.9533098161"/>
    <n v="0"/>
    <n v="0"/>
    <n v="0"/>
    <n v="886667.7152542026"/>
    <n v="786290.23805561347"/>
    <n v="0"/>
    <n v="0"/>
    <n v="0"/>
    <n v="0"/>
    <n v="886667.7152542026"/>
    <n v="0"/>
    <n v="0.38197645173151057"/>
    <n v="0.38197645173151057"/>
    <n v="0"/>
    <n v="0"/>
    <n v="44333.385762710132"/>
    <n v="44333.385762710132"/>
    <n v="0"/>
  </r>
  <r>
    <x v="43"/>
    <x v="10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</r>
  <r>
    <x v="47"/>
    <x v="10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0396643.143686149"/>
    <s v="CO2 - atmosfære"/>
    <x v="0"/>
  </r>
  <r>
    <s v="Vestdanmark"/>
    <x v="1"/>
    <n v="4046578.8260529838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37462.493699251529"/>
    <s v="Hav"/>
    <x v="3"/>
  </r>
  <r>
    <s v="Vestdanmark"/>
    <x v="1"/>
    <n v="-528478.99286293855"/>
    <s v="Skov"/>
    <x v="4"/>
  </r>
  <r>
    <s v="Vestdanmark"/>
    <x v="1"/>
    <n v="-443563.40437744389"/>
    <s v="HWP"/>
    <x v="5"/>
  </r>
  <r>
    <s v="Vestdanmark"/>
    <x v="1"/>
    <n v="-313642.01757617836"/>
    <s v="Biogasanlæg"/>
    <x v="6"/>
  </r>
  <r>
    <s v="Vestdanmark"/>
    <x v="1"/>
    <n v="0"/>
    <s v="Pyrolyseproces"/>
    <x v="7"/>
  </r>
  <r>
    <s v="Vestdanmark"/>
    <x v="2"/>
    <n v="9602346.6372198723"/>
    <s v="CO2 - atmosfære"/>
    <x v="0"/>
  </r>
  <r>
    <s v="Vestdanmark"/>
    <x v="2"/>
    <n v="4029816.5016583097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7462.493699251529"/>
    <s v="Hav"/>
    <x v="3"/>
  </r>
  <r>
    <s v="Vestdanmark"/>
    <x v="2"/>
    <n v="-1260129.3549508662"/>
    <s v="Skov"/>
    <x v="4"/>
  </r>
  <r>
    <s v="Vestdanmark"/>
    <x v="2"/>
    <n v="-420192.72772237897"/>
    <s v="HWP"/>
    <x v="5"/>
  </r>
  <r>
    <s v="Vestdanmark"/>
    <x v="2"/>
    <n v="-305735.90389246412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666940.914362645"/>
    <s v="CO2 - atmosfære"/>
    <x v="0"/>
  </r>
  <r>
    <s v="Østdanmark"/>
    <x v="1"/>
    <n v="359274.67944464367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12810.937899750508"/>
    <s v="Hav"/>
    <x v="3"/>
  </r>
  <r>
    <s v="Østdanmark"/>
    <x v="1"/>
    <n v="-145014.54954130086"/>
    <s v="Skov"/>
    <x v="4"/>
  </r>
  <r>
    <s v="Østdanmark"/>
    <x v="1"/>
    <n v="-129833.14224340807"/>
    <s v="HWP"/>
    <x v="5"/>
  </r>
  <r>
    <s v="Østdanmark"/>
    <x v="1"/>
    <n v="-28297.406862279633"/>
    <s v="Biogasanlæg"/>
    <x v="6"/>
  </r>
  <r>
    <s v="Østdanmark"/>
    <x v="1"/>
    <n v="0"/>
    <s v="Pyrolyseproces"/>
    <x v="7"/>
  </r>
  <r>
    <s v="Østdanmark"/>
    <x v="2"/>
    <n v="1517437.8302197091"/>
    <s v="CO2 - atmosfære"/>
    <x v="0"/>
  </r>
  <r>
    <s v="Østdanmark"/>
    <x v="2"/>
    <n v="358368.22621777962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12810.937899750508"/>
    <s v="Hav"/>
    <x v="3"/>
  </r>
  <r>
    <s v="Østdanmark"/>
    <x v="2"/>
    <n v="-294481.27347525692"/>
    <s v="Skov"/>
    <x v="4"/>
  </r>
  <r>
    <s v="Østdanmark"/>
    <x v="2"/>
    <n v="-121447.49871125096"/>
    <s v="HWP"/>
    <x v="5"/>
  </r>
  <r>
    <s v="Østdanmark"/>
    <x v="2"/>
    <n v="-27479.507795346046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51598.780380153592"/>
    <n v="0"/>
    <n v="0"/>
    <n v="0"/>
    <n v="0"/>
    <n v="0"/>
    <n v="0"/>
    <n v="218519.6626810932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436104134.24282026"/>
    <n v="0"/>
    <n v="0"/>
    <n v="0"/>
    <n v="0"/>
    <n v="0"/>
    <n v="436104134.24282026"/>
    <n v="0"/>
    <n v="0"/>
    <n v="0"/>
    <n v="436104134.24282026"/>
    <n v="0"/>
    <n v="0"/>
    <n v="0"/>
    <n v="0"/>
    <n v="0"/>
    <n v="0"/>
    <n v="0"/>
    <n v="0"/>
    <n v="0"/>
    <x v="1"/>
  </r>
  <r>
    <x v="4"/>
    <s v=""/>
    <n v="0"/>
    <x v="1"/>
    <s v="Vestdanmark"/>
    <n v="16654690.164173149"/>
    <n v="0"/>
    <n v="0"/>
    <n v="0"/>
    <n v="0"/>
    <n v="14170727.436337013"/>
    <n v="0"/>
    <n v="0"/>
    <n v="2483962.7278361358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6674.1809084363849"/>
    <n v="0"/>
    <n v="0"/>
    <n v="0"/>
    <n v="3337.0904542181925"/>
    <n v="3337.0904542181925"/>
    <n v="0"/>
    <n v="0"/>
    <n v="0"/>
    <n v="0"/>
    <n v="3337.0904542181925"/>
    <n v="0"/>
    <n v="1.5694002697142738E-3"/>
    <n v="1.5694002697142738E-3"/>
    <n v="0"/>
    <n v="0"/>
    <n v="210.23669861574612"/>
    <n v="210.23669861574612"/>
    <n v="0"/>
    <n v="0"/>
    <x v="1"/>
  </r>
  <r>
    <x v="9"/>
    <s v="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9790151.9274066389"/>
    <n v="0"/>
    <n v="0"/>
    <n v="75614.059561949907"/>
    <n v="0"/>
    <n v="0"/>
    <n v="0"/>
    <n v="6597597.615337275"/>
    <n v="6597597.615337275"/>
    <n v="75614.059561949907"/>
    <n v="12.138754912518669"/>
    <n v="12.277875330355212"/>
    <n v="0.13912041783654258"/>
    <n v="12.138754912518669"/>
    <n v="1847327.3322944371"/>
    <n v="1868499.2689717831"/>
    <n v="21171.936677345977"/>
    <n v="1847327.3322944371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618468.71483434096"/>
    <n v="581579.9632190367"/>
    <n v="0"/>
    <n v="53644.580306161413"/>
    <n v="0"/>
    <n v="1385491.0293729189"/>
    <n v="0"/>
    <n v="0"/>
    <n v="0"/>
    <n v="1439135.6096790803"/>
    <n v="0"/>
    <n v="14.629456937744798"/>
    <n v="0.30928997353838589"/>
    <n v="14.320166964206413"/>
    <n v="0"/>
    <n v="1223265.2682272182"/>
    <n v="45597.893260237201"/>
    <n v="1177667.3749669809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  <n v="1"/>
    <x v="1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4703372.1615964994"/>
    <n v="0"/>
    <n v="295933.04302308214"/>
    <n v="2833.9333697705197"/>
    <n v="0"/>
    <n v="0"/>
    <n v="0"/>
    <n v="2169017.6219496708"/>
    <n v="2169017.6219496708"/>
    <n v="2833.9333697705197"/>
    <n v="7.4285816927105506"/>
    <n v="7.438287517751343"/>
    <n v="9.7058250407922632E-3"/>
    <n v="7.4285816927105506"/>
    <n v="672395.46280439792"/>
    <n v="673273.98214902682"/>
    <n v="878.51934462886106"/>
    <n v="672395.46280439792"/>
    <n v="0"/>
    <x v="0"/>
  </r>
  <r>
    <x v="23"/>
    <s v=""/>
    <n v="0"/>
    <x v="1"/>
    <s v="Vestdanmark"/>
    <n v="0"/>
    <n v="0"/>
    <n v="0"/>
    <n v="0"/>
    <n v="0"/>
    <n v="809729.86780953256"/>
    <n v="0"/>
    <n v="0"/>
    <n v="-809729.86780953256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0386797.369068628"/>
    <n v="0"/>
    <n v="0"/>
    <n v="0"/>
    <n v="7893966.0004921574"/>
    <n v="2492831.3685764708"/>
    <n v="0"/>
    <n v="0"/>
    <n v="0"/>
    <n v="0"/>
    <n v="7893966.0004921574"/>
    <n v="0"/>
    <n v="3.9958466497891258"/>
    <n v="3.9958466497891258"/>
    <n v="0"/>
    <n v="0"/>
    <n v="599941.41603740398"/>
    <n v="599941.41603740398"/>
    <n v="0"/>
    <n v="0"/>
    <x v="1"/>
  </r>
  <r>
    <x v="25"/>
    <s v="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4525643.0291759707"/>
    <n v="0"/>
    <n v="0"/>
    <n v="314692.31350359169"/>
    <n v="0"/>
    <n v="0"/>
    <n v="0"/>
    <n v="3142972.4098101053"/>
    <n v="2961150.4845719668"/>
    <n v="314692.31350359169"/>
    <n v="10.630530239613362"/>
    <n v="11.760275645091257"/>
    <n v="1.1297454054778944"/>
    <n v="10.630530239613362"/>
    <n v="888345.14537159004"/>
    <n v="982752.83942266752"/>
    <n v="94407.694051077502"/>
    <n v="888345.14537159004"/>
    <n v="0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  <n v="1"/>
    <x v="1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171279.2848730098"/>
    <n v="0"/>
    <n v="0"/>
    <n v="0"/>
    <n v="0"/>
    <n v="0"/>
    <n v="0"/>
    <n v="82616.067703844164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672934.09412450308"/>
    <n v="0"/>
    <n v="0"/>
    <n v="4075.7207832735812"/>
    <n v="0"/>
    <n v="0"/>
    <n v="0"/>
    <n v="-281910.65780216159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n v="0"/>
    <x v="0"/>
  </r>
  <r>
    <x v="42"/>
    <s v="Husdyrgødning"/>
    <n v="1"/>
    <x v="1"/>
    <s v="Vestdanmark"/>
    <n v="12059866.540704856"/>
    <n v="0"/>
    <n v="0"/>
    <n v="0"/>
    <n v="6391729.2665735735"/>
    <n v="5668137.2741312822"/>
    <n v="0"/>
    <n v="0"/>
    <n v="0"/>
    <n v="0"/>
    <n v="6391729.2665735735"/>
    <n v="0"/>
    <n v="2.7535569680398959"/>
    <n v="2.7535569680398959"/>
    <n v="0"/>
    <n v="0"/>
    <n v="319586.46332867868"/>
    <n v="319586.46332867868"/>
    <n v="0"/>
    <n v="0"/>
    <x v="1"/>
  </r>
  <r>
    <x v="43"/>
    <s v="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79414.6339744032"/>
    <n v="51598.780380153592"/>
    <n v="0"/>
    <n v="0"/>
    <n v="0"/>
    <n v="0"/>
    <n v="0"/>
    <n v="0"/>
    <n v="227815.85359424961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34305248.86575383"/>
    <n v="0"/>
    <n v="0"/>
    <n v="0"/>
    <n v="0"/>
    <n v="0"/>
    <n v="434305248.86575383"/>
    <n v="0"/>
    <n v="0"/>
    <n v="0"/>
    <n v="434305248.86575383"/>
    <n v="0"/>
    <n v="0"/>
    <n v="0"/>
    <n v="0"/>
    <n v="0"/>
    <n v="0"/>
    <n v="0"/>
    <n v="0"/>
    <n v="0"/>
    <x v="1"/>
  </r>
  <r>
    <x v="4"/>
    <s v=""/>
    <n v="0"/>
    <x v="2"/>
    <s v="Vestdanmark"/>
    <n v="16361961.782417906"/>
    <n v="0"/>
    <n v="0"/>
    <n v="0"/>
    <n v="0"/>
    <n v="13769683.498114759"/>
    <n v="0"/>
    <n v="0"/>
    <n v="2592278.2843031473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6892.4253779859373"/>
    <n v="0"/>
    <n v="0"/>
    <n v="0"/>
    <n v="3446.2126889929687"/>
    <n v="3446.2126889929687"/>
    <n v="0"/>
    <n v="0"/>
    <n v="0"/>
    <n v="0"/>
    <n v="3446.2126889929687"/>
    <n v="0"/>
    <n v="1.6207193655065032E-3"/>
    <n v="1.6207193655065032E-3"/>
    <n v="0"/>
    <n v="0"/>
    <n v="217.11139940655701"/>
    <n v="217.11139940655701"/>
    <n v="0"/>
    <n v="0"/>
    <x v="1"/>
  </r>
  <r>
    <x v="9"/>
    <s v="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7271454.74298735"/>
    <n v="9790151.9274066389"/>
    <n v="0"/>
    <n v="0"/>
    <n v="75527.053678542026"/>
    <n v="0"/>
    <n v="0"/>
    <n v="0"/>
    <n v="7405775.7619021684"/>
    <n v="7405775.7619021684"/>
    <n v="75527.053678542026"/>
    <n v="13.625701679929753"/>
    <n v="13.76466201781656"/>
    <n v="0.13896033788680751"/>
    <n v="13.625701679929753"/>
    <n v="2073617.2133326074"/>
    <n v="2094764.7883625992"/>
    <n v="21147.575029991771"/>
    <n v="2073617.2133326074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618468.71483434096"/>
    <n v="579210.80448009283"/>
    <n v="0"/>
    <n v="53363.755309158871"/>
    <n v="0"/>
    <n v="1303036.156330572"/>
    <n v="0"/>
    <n v="0"/>
    <n v="0"/>
    <n v="1356399.9116397309"/>
    <n v="0"/>
    <n v="13.775600230507971"/>
    <n v="0.30767086578516784"/>
    <n v="13.467929364722803"/>
    <n v="0"/>
    <n v="1152939.9248937713"/>
    <n v="45359.192012785039"/>
    <n v="1107580.7328809863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  <n v="1"/>
    <x v="1"/>
  </r>
  <r>
    <x v="20"/>
    <s v="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50959.0772760846"/>
    <n v="4703372.1615964994"/>
    <n v="0"/>
    <n v="307470.55071854044"/>
    <n v="2825.7560217041437"/>
    <n v="0"/>
    <n v="0"/>
    <n v="0"/>
    <n v="2437290.6089393403"/>
    <n v="2437290.6089393403"/>
    <n v="2825.7560217041437"/>
    <n v="8.3473791149319911"/>
    <n v="8.3570569337004841"/>
    <n v="9.6778187684936554E-3"/>
    <n v="8.3473791149319911"/>
    <n v="755560.0887711955"/>
    <n v="756436.07313792373"/>
    <n v="875.9843667282845"/>
    <n v="755560.08877119538"/>
    <n v="0"/>
    <x v="0"/>
  </r>
  <r>
    <x v="23"/>
    <s v=""/>
    <n v="0"/>
    <x v="2"/>
    <s v="Vestdanmark"/>
    <n v="0"/>
    <n v="0"/>
    <n v="0"/>
    <n v="0"/>
    <n v="0"/>
    <n v="781289.12421925121"/>
    <n v="0"/>
    <n v="0"/>
    <n v="-781289.1242192512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0188325.202039858"/>
    <n v="0"/>
    <n v="0"/>
    <n v="0"/>
    <n v="7743127.1535502924"/>
    <n v="2445198.048489566"/>
    <n v="0"/>
    <n v="0"/>
    <n v="0"/>
    <n v="0"/>
    <n v="7743127.1535502924"/>
    <n v="0"/>
    <n v="3.9194935338556229"/>
    <n v="3.9194935338556229"/>
    <n v="0"/>
    <n v="0"/>
    <n v="588477.66366982216"/>
    <n v="588477.66366982216"/>
    <n v="0"/>
    <n v="0"/>
    <x v="1"/>
  </r>
  <r>
    <x v="25"/>
    <s v="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53109.1121058436"/>
    <n v="4525643.0291759707"/>
    <n v="0"/>
    <n v="0"/>
    <n v="314525.12457946909"/>
    <n v="0"/>
    <n v="0"/>
    <n v="0"/>
    <n v="3512940.9583504042"/>
    <n v="3353627.3013542485"/>
    <n v="314525.12457946909"/>
    <n v="12.039522011861754"/>
    <n v="13.168667209102049"/>
    <n v="1.1291451972402942"/>
    <n v="12.039522011861754"/>
    <n v="1006088.1904062745"/>
    <n v="1100445.7277801153"/>
    <n v="94357.537373840722"/>
    <n v="1006088.1904062746"/>
    <n v="0"/>
    <x v="0"/>
  </r>
  <r>
    <x v="27"/>
    <s v="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62311.54417595419"/>
    <n v="171279.2848730098"/>
    <n v="0"/>
    <n v="0"/>
    <n v="0"/>
    <n v="0"/>
    <n v="0"/>
    <n v="0"/>
    <n v="91032.259302944381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  <n v="0"/>
    <x v="1"/>
  </r>
  <r>
    <x v="38"/>
    <s v="Græs og urter"/>
    <n v="1"/>
    <x v="2"/>
    <s v="Vestdanmark"/>
    <n v="408411.71044063132"/>
    <n v="672934.09412450308"/>
    <n v="0"/>
    <n v="0"/>
    <n v="4034.0707756292709"/>
    <n v="0"/>
    <n v="0"/>
    <n v="0"/>
    <n v="-268556.45445950102"/>
    <n v="0"/>
    <n v="4034.0707756292709"/>
    <n v="0"/>
    <n v="1.0948629447888866E-2"/>
    <n v="1.0948629447888866E-2"/>
    <n v="0"/>
    <n v="0"/>
    <n v="806.8141551258542"/>
    <n v="806.8141551258542"/>
    <n v="0"/>
    <n v="0"/>
    <x v="0"/>
  </r>
  <r>
    <x v="39"/>
    <s v="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  <n v="0"/>
    <x v="0"/>
  </r>
  <r>
    <x v="42"/>
    <s v="Husdyrgødning"/>
    <n v="1"/>
    <x v="2"/>
    <s v="Vestdanmark"/>
    <n v="11545833.414063649"/>
    <n v="0"/>
    <n v="0"/>
    <n v="0"/>
    <n v="6119291.7094537346"/>
    <n v="5426541.7046099147"/>
    <n v="0"/>
    <n v="0"/>
    <n v="0"/>
    <n v="0"/>
    <n v="6119291.7094537346"/>
    <n v="0"/>
    <n v="2.6361908684326694"/>
    <n v="2.6361908684326694"/>
    <n v="0"/>
    <n v="0"/>
    <n v="305964.58547268674"/>
    <n v="305964.58547268674"/>
    <n v="0"/>
    <n v="0"/>
    <x v="1"/>
  </r>
  <r>
    <x v="43"/>
    <s v="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n v="0"/>
    <x v="1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6333.2934029920762"/>
    <n v="0"/>
    <n v="0"/>
    <n v="0"/>
    <n v="0"/>
    <n v="0"/>
    <n v="0"/>
    <n v="22219.13203901506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3250703.76009664"/>
    <n v="0"/>
    <n v="0"/>
    <n v="0"/>
    <n v="0"/>
    <n v="0"/>
    <n v="103250703.76009664"/>
    <n v="0"/>
    <n v="0"/>
    <n v="0"/>
    <n v="103250703.76009664"/>
    <n v="0"/>
    <n v="0"/>
    <n v="0"/>
    <n v="0"/>
    <n v="0"/>
    <n v="0"/>
    <n v="0"/>
    <n v="0"/>
    <n v="0"/>
    <x v="1"/>
  </r>
  <r>
    <x v="4"/>
    <s v=""/>
    <n v="0"/>
    <x v="1"/>
    <s v="Østdanmark"/>
    <n v="3113194.8160989988"/>
    <n v="0"/>
    <n v="0"/>
    <n v="0"/>
    <n v="0"/>
    <n v="2648877.5690380111"/>
    <n v="0"/>
    <n v="0"/>
    <n v="464317.24706098763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560.16154012228367"/>
    <n v="0"/>
    <n v="0"/>
    <n v="0"/>
    <n v="280.08077006114183"/>
    <n v="280.08077006114183"/>
    <n v="0"/>
    <n v="0"/>
    <n v="0"/>
    <n v="0"/>
    <n v="280.08077006114183"/>
    <n v="0"/>
    <n v="1.317191853520544E-4"/>
    <n v="1.317191853520544E-4"/>
    <n v="0"/>
    <n v="0"/>
    <n v="17.645088513851935"/>
    <n v="17.645088513851935"/>
    <n v="0"/>
    <n v="0"/>
    <x v="1"/>
  </r>
  <r>
    <x v="9"/>
    <s v="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201654.4608093714"/>
    <n v="0"/>
    <n v="0"/>
    <n v="10062.940438050116"/>
    <n v="0"/>
    <n v="0"/>
    <n v="0"/>
    <n v="979275.23027812573"/>
    <n v="979275.23027812573"/>
    <n v="10062.940438050116"/>
    <n v="1.8017440143079666"/>
    <n v="1.820258566846424"/>
    <n v="1.8514552538457459E-2"/>
    <n v="1.8017440143079666"/>
    <n v="274197.06447787525"/>
    <n v="277014.68780052924"/>
    <n v="2817.623322654033"/>
    <n v="274197.06447787519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75911.558427530035"/>
    <n v="82816.687681498166"/>
    <n v="0"/>
    <n v="22289.419693838598"/>
    <n v="0"/>
    <n v="756737.32303016982"/>
    <n v="0"/>
    <n v="0"/>
    <n v="0"/>
    <n v="779026.74272400839"/>
    <n v="0"/>
    <n v="7.9500009612564133"/>
    <n v="0.1285105408216142"/>
    <n v="7.8214904204347988"/>
    <n v="0"/>
    <n v="662172.73131540709"/>
    <n v="18946.006739762808"/>
    <n v="643226.72457564424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  <n v="1"/>
    <x v="1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577297.28616440261"/>
    <n v="0"/>
    <n v="256234.83946537593"/>
    <n v="952.06663022948101"/>
    <n v="0"/>
    <n v="0"/>
    <n v="0"/>
    <n v="1574682.9124116749"/>
    <n v="1574682.9124116749"/>
    <n v="952.06663022948101"/>
    <n v="5.3930685194022496"/>
    <n v="5.3963292143214572"/>
    <n v="3.2606949192077409E-3"/>
    <n v="5.3930685194022496"/>
    <n v="488151.70284761919"/>
    <n v="488446.84350299038"/>
    <n v="295.14065537113913"/>
    <n v="488151.70284761925"/>
    <n v="0"/>
    <x v="0"/>
  </r>
  <r>
    <x v="23"/>
    <s v=""/>
    <n v="0"/>
    <x v="1"/>
    <s v="Østdanmark"/>
    <n v="0"/>
    <n v="0"/>
    <n v="0"/>
    <n v="0"/>
    <n v="0"/>
    <n v="395773.41834279301"/>
    <n v="0"/>
    <n v="0"/>
    <n v="-395773.4183427930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738231.33813296724"/>
    <n v="0"/>
    <n v="0"/>
    <n v="0"/>
    <n v="561055.81698105508"/>
    <n v="177175.52115191214"/>
    <n v="0"/>
    <n v="0"/>
    <n v="0"/>
    <n v="0"/>
    <n v="561055.81698105508"/>
    <n v="0"/>
    <n v="0.28400084399764031"/>
    <n v="0.28400084399764031"/>
    <n v="0"/>
    <n v="0"/>
    <n v="42640.242090560183"/>
    <n v="42640.242090560183"/>
    <n v="0"/>
    <n v="0"/>
    <x v="1"/>
  </r>
  <r>
    <x v="25"/>
    <s v="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555482.60888742993"/>
    <n v="0"/>
    <n v="0"/>
    <n v="15333.686496408332"/>
    <n v="0"/>
    <n v="0"/>
    <n v="0"/>
    <n v="-181821.92523813841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  <n v="1"/>
    <x v="1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21023.015601598698"/>
    <n v="0"/>
    <n v="0"/>
    <n v="0"/>
    <n v="0"/>
    <n v="0"/>
    <n v="0"/>
    <n v="81180.880041585086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82596.701464021666"/>
    <n v="0"/>
    <n v="0"/>
    <n v="24569.279216726416"/>
    <n v="0"/>
    <n v="0"/>
    <n v="0"/>
    <n v="2274572.6185528086"/>
    <n v="1992661.9607506471"/>
    <n v="24569.279216726416"/>
    <n v="5.4081642679556863"/>
    <n v="5.4748462745210507"/>
    <n v="6.668200656536416E-2"/>
    <n v="5.4081642679556863"/>
    <n v="398532.39215012942"/>
    <n v="403446.24799347471"/>
    <n v="4913.8558433452836"/>
    <n v="398532.39215012942"/>
    <n v="0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n v="0"/>
    <x v="0"/>
  </r>
  <r>
    <x v="42"/>
    <s v="Husdyrgødning"/>
    <n v="1"/>
    <x v="1"/>
    <s v="Østdanmark"/>
    <n v="1747439.8704342765"/>
    <n v="0"/>
    <n v="0"/>
    <n v="0"/>
    <n v="926143.13133016659"/>
    <n v="821296.73910410993"/>
    <n v="0"/>
    <n v="0"/>
    <n v="0"/>
    <n v="0"/>
    <n v="926143.13133016659"/>
    <n v="0"/>
    <n v="0.39898246097703582"/>
    <n v="0.39898246097703582"/>
    <n v="0"/>
    <n v="0"/>
    <n v="46307.156566508333"/>
    <n v="46307.156566508333"/>
    <n v="0"/>
    <n v="0"/>
    <x v="1"/>
  </r>
  <r>
    <x v="43"/>
    <s v="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9872.966694552277"/>
    <n v="6333.293402992078"/>
    <n v="0"/>
    <n v="0"/>
    <n v="0"/>
    <n v="0"/>
    <n v="0"/>
    <n v="0"/>
    <n v="23539.673291560197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4340897.10458454"/>
    <n v="0"/>
    <n v="0"/>
    <n v="0"/>
    <n v="0"/>
    <n v="0"/>
    <n v="104340897.10458454"/>
    <n v="0"/>
    <n v="0"/>
    <n v="0"/>
    <n v="104340897.10458454"/>
    <n v="0"/>
    <n v="0"/>
    <n v="0"/>
    <n v="0"/>
    <n v="0"/>
    <n v="0"/>
    <n v="0"/>
    <n v="0"/>
    <n v="0"/>
    <x v="1"/>
  </r>
  <r>
    <x v="4"/>
    <s v=""/>
    <n v="0"/>
    <x v="2"/>
    <s v="Østdanmark"/>
    <n v="3132565.3017730014"/>
    <n v="0"/>
    <n v="0"/>
    <n v="0"/>
    <n v="0"/>
    <n v="2636262.8953785724"/>
    <n v="0"/>
    <n v="0"/>
    <n v="496302.40639442904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578.47871789484248"/>
    <n v="0"/>
    <n v="0"/>
    <n v="0"/>
    <n v="289.23935894742124"/>
    <n v="289.23935894742124"/>
    <n v="0"/>
    <n v="0"/>
    <n v="0"/>
    <n v="0"/>
    <n v="289.23935894742124"/>
    <n v="0"/>
    <n v="1.3602637811938273E-4"/>
    <n v="1.3602637811938273E-4"/>
    <n v="0"/>
    <n v="0"/>
    <n v="18.222079613687537"/>
    <n v="18.222079613687537"/>
    <n v="0"/>
    <n v="0"/>
    <x v="1"/>
  </r>
  <r>
    <x v="9"/>
    <s v="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321080.0633232924"/>
    <n v="1201654.4608093717"/>
    <n v="0"/>
    <n v="0"/>
    <n v="10149.946321457955"/>
    <n v="0"/>
    <n v="0"/>
    <n v="0"/>
    <n v="1109275.6561924629"/>
    <n v="1109275.6561924629"/>
    <n v="10149.946321457955"/>
    <n v="2.0409285479371078"/>
    <n v="2.0596031804253001"/>
    <n v="1.8674632488192455E-2"/>
    <n v="2.0409285479371078"/>
    <n v="310597.18373388966"/>
    <n v="313439.16870389786"/>
    <n v="2841.9849700082277"/>
    <n v="310597.1837338896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75911.55842753005"/>
    <n v="82449.939525946174"/>
    <n v="0"/>
    <n v="22570.244690841144"/>
    <n v="0"/>
    <n v="736790.52495436871"/>
    <n v="0"/>
    <n v="0"/>
    <n v="0"/>
    <n v="759360.76964520989"/>
    <n v="0"/>
    <n v="7.7454538270123328"/>
    <n v="0.13012964857483225"/>
    <n v="7.6153241784375005"/>
    <n v="0"/>
    <n v="645456.65419842838"/>
    <n v="19184.707987214973"/>
    <n v="626271.94621121336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  <n v="1"/>
    <x v="1"/>
  </r>
  <r>
    <x v="20"/>
    <s v="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31973.2246977086"/>
    <n v="577297.28616440273"/>
    <n v="0"/>
    <n v="268249.01834925939"/>
    <n v="960.24397829585621"/>
    <n v="0"/>
    <n v="0"/>
    <n v="0"/>
    <n v="1685466.6762057506"/>
    <n v="1685466.6762057506"/>
    <n v="960.24397829585621"/>
    <n v="5.7724874006700277"/>
    <n v="5.7757761018615339"/>
    <n v="3.2887011915063466E-3"/>
    <n v="5.7724874006700277"/>
    <n v="522494.66962378268"/>
    <n v="522792.34525705443"/>
    <n v="297.67563327171541"/>
    <n v="522494.66962378274"/>
    <n v="0"/>
    <x v="0"/>
  </r>
  <r>
    <x v="23"/>
    <s v=""/>
    <n v="0"/>
    <x v="2"/>
    <s v="Østdanmark"/>
    <n v="0"/>
    <n v="0"/>
    <n v="0"/>
    <n v="0"/>
    <n v="0"/>
    <n v="385663.66895741841"/>
    <n v="0"/>
    <n v="0"/>
    <n v="-385663.6689574184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724125.12538599269"/>
    <n v="0"/>
    <n v="0"/>
    <n v="0"/>
    <n v="550335.09529335448"/>
    <n v="173790.03009263825"/>
    <n v="0"/>
    <n v="0"/>
    <n v="0"/>
    <n v="0"/>
    <n v="550335.09529335448"/>
    <n v="0"/>
    <n v="0.27857412188654312"/>
    <n v="0.27857412188654312"/>
    <n v="0"/>
    <n v="0"/>
    <n v="41825.467242294937"/>
    <n v="41825.467242294937"/>
    <n v="0"/>
    <n v="0"/>
    <x v="1"/>
  </r>
  <r>
    <x v="25"/>
    <s v="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11669.82731180527"/>
    <n v="555482.60888743005"/>
    <n v="0"/>
    <n v="0"/>
    <n v="15500.875420530891"/>
    <n v="0"/>
    <n v="0"/>
    <n v="0"/>
    <n v="-159313.65699615568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106827.26455559974"/>
    <n v="21023.015601598701"/>
    <n v="0"/>
    <n v="0"/>
    <n v="0"/>
    <n v="0"/>
    <n v="0"/>
    <n v="0"/>
    <n v="85804.248954001043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  <n v="0"/>
    <x v="1"/>
  </r>
  <r>
    <x v="38"/>
    <s v="Græs og urter"/>
    <n v="1"/>
    <x v="2"/>
    <s v="Østdanmark"/>
    <n v="2491625.0257138005"/>
    <n v="82596.70146402168"/>
    <n v="0"/>
    <n v="0"/>
    <n v="24610.929224370735"/>
    <n v="0"/>
    <n v="0"/>
    <n v="0"/>
    <n v="2384417.3950254079"/>
    <n v="2115860.9405659069"/>
    <n v="24610.929224370735"/>
    <n v="5.7425312271334938"/>
    <n v="5.8093262734856053"/>
    <n v="6.6795046352111156E-2"/>
    <n v="5.7425312271334938"/>
    <n v="423172.18811318139"/>
    <n v="428094.37395805551"/>
    <n v="4922.1858448741477"/>
    <n v="423172.18811318139"/>
    <n v="0"/>
    <x v="0"/>
  </r>
  <r>
    <x v="39"/>
    <s v="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  <n v="0"/>
    <x v="0"/>
  </r>
  <r>
    <x v="42"/>
    <s v="Husdyrgødning"/>
    <n v="1"/>
    <x v="2"/>
    <s v="Østdanmark"/>
    <n v="1672957.9533098161"/>
    <n v="0"/>
    <n v="0"/>
    <n v="0"/>
    <n v="886667.7152542026"/>
    <n v="786290.23805561347"/>
    <n v="0"/>
    <n v="0"/>
    <n v="0"/>
    <n v="0"/>
    <n v="886667.7152542026"/>
    <n v="0"/>
    <n v="0.38197645173151057"/>
    <n v="0.38197645173151057"/>
    <n v="0"/>
    <n v="0"/>
    <n v="44333.385762710132"/>
    <n v="44333.385762710132"/>
    <n v="0"/>
    <n v="0"/>
    <x v="1"/>
  </r>
  <r>
    <x v="43"/>
    <s v="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n v="0"/>
    <x v="1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51598.780380153592"/>
    <n v="0"/>
    <n v="0"/>
    <n v="0"/>
    <n v="0"/>
    <n v="0"/>
    <n v="0"/>
    <n v="218519.6626810932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436104134.24282026"/>
    <n v="0"/>
    <n v="0"/>
    <n v="0"/>
    <n v="0"/>
    <n v="0"/>
    <n v="436104134.24282026"/>
    <n v="0"/>
    <n v="0"/>
    <n v="0"/>
    <n v="436104134.24282026"/>
    <n v="0"/>
    <n v="0"/>
    <n v="0"/>
    <n v="0"/>
    <n v="0"/>
    <n v="0"/>
    <n v="0"/>
    <n v="0"/>
    <x v="0"/>
  </r>
  <r>
    <x v="4"/>
    <s v=""/>
    <n v="0"/>
    <x v="1"/>
    <s v="Vestdanmark"/>
    <n v="16654690.164173149"/>
    <n v="0"/>
    <n v="0"/>
    <n v="0"/>
    <n v="0"/>
    <n v="14170727.436337013"/>
    <n v="0"/>
    <n v="0"/>
    <n v="2483962.7278361358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6674.1809084363849"/>
    <n v="0"/>
    <n v="0"/>
    <n v="0"/>
    <n v="3337.0904542181925"/>
    <n v="3337.0904542181925"/>
    <n v="0"/>
    <n v="0"/>
    <n v="0"/>
    <n v="0"/>
    <n v="3337.0904542181925"/>
    <n v="0"/>
    <n v="1.5694002697142738E-3"/>
    <n v="1.5694002697142738E-3"/>
    <n v="0"/>
    <n v="0"/>
    <n v="210.23669861574612"/>
    <n v="210.23669861574612"/>
    <n v="0"/>
    <x v="0"/>
  </r>
  <r>
    <x v="9"/>
    <s v="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9790151.9274066389"/>
    <n v="0"/>
    <n v="0"/>
    <n v="75614.059561949907"/>
    <n v="0"/>
    <n v="0"/>
    <n v="0"/>
    <n v="6597597.615337275"/>
    <n v="6597597.615337275"/>
    <n v="75614.059561949907"/>
    <n v="12.138754912518669"/>
    <n v="12.277875330355212"/>
    <n v="0.13912041783654258"/>
    <n v="12.138754912518669"/>
    <n v="1847327.3322944371"/>
    <n v="1868499.2689717831"/>
    <n v="21171.936677345977"/>
    <n v="1847327.3322944371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618468.71483434096"/>
    <n v="581579.9632190367"/>
    <n v="0"/>
    <n v="53644.580306161413"/>
    <n v="0"/>
    <n v="1385491.0293729189"/>
    <n v="0"/>
    <n v="0"/>
    <n v="0"/>
    <n v="1439135.6096790803"/>
    <n v="0"/>
    <n v="14.629456937744798"/>
    <n v="0.30928997353838589"/>
    <n v="14.320166964206413"/>
    <n v="0"/>
    <n v="1223265.2682272182"/>
    <n v="45597.893260237201"/>
    <n v="1177667.3749669809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  <x v="1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4703372.1615964994"/>
    <n v="0"/>
    <n v="295933.04302308214"/>
    <n v="2833.9333697705197"/>
    <n v="0"/>
    <n v="0"/>
    <n v="0"/>
    <n v="2169017.6219496708"/>
    <n v="2169017.6219496708"/>
    <n v="2833.9333697705197"/>
    <n v="7.4285816927105506"/>
    <n v="7.438287517751343"/>
    <n v="9.7058250407922632E-3"/>
    <n v="7.4285816927105506"/>
    <n v="672395.46280439792"/>
    <n v="673273.98214902682"/>
    <n v="878.51934462886106"/>
    <n v="672395.46280439792"/>
    <x v="0"/>
  </r>
  <r>
    <x v="23"/>
    <s v=""/>
    <n v="0"/>
    <x v="1"/>
    <s v="Vestdanmark"/>
    <n v="0"/>
    <n v="0"/>
    <n v="0"/>
    <n v="0"/>
    <n v="0"/>
    <n v="809729.86780953256"/>
    <n v="0"/>
    <n v="0"/>
    <n v="-809729.86780953256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0386797.369068628"/>
    <n v="0"/>
    <n v="0"/>
    <n v="0"/>
    <n v="7893966.0004921574"/>
    <n v="2492831.3685764708"/>
    <n v="0"/>
    <n v="0"/>
    <n v="0"/>
    <n v="0"/>
    <n v="7893966.0004921574"/>
    <n v="0"/>
    <n v="3.9958466497891258"/>
    <n v="3.9958466497891258"/>
    <n v="0"/>
    <n v="0"/>
    <n v="599941.41603740398"/>
    <n v="599941.41603740398"/>
    <n v="0"/>
    <x v="0"/>
  </r>
  <r>
    <x v="25"/>
    <s v="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4525643.0291759707"/>
    <n v="0"/>
    <n v="0"/>
    <n v="314692.31350359169"/>
    <n v="0"/>
    <n v="0"/>
    <n v="0"/>
    <n v="3142972.4098101053"/>
    <n v="2961150.4845719668"/>
    <n v="314692.31350359169"/>
    <n v="10.630530239613362"/>
    <n v="11.760275645091257"/>
    <n v="1.1297454054778944"/>
    <n v="10.630530239613362"/>
    <n v="888345.14537159004"/>
    <n v="982752.83942266752"/>
    <n v="94407.694051077502"/>
    <n v="888345.14537159004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  <x v="1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171279.2848730098"/>
    <n v="0"/>
    <n v="0"/>
    <n v="0"/>
    <n v="0"/>
    <n v="0"/>
    <n v="0"/>
    <n v="82616.067703844164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672934.09412450308"/>
    <n v="0"/>
    <n v="0"/>
    <n v="4075.7207832735812"/>
    <n v="0"/>
    <n v="0"/>
    <n v="0"/>
    <n v="-281910.65780216159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x v="0"/>
  </r>
  <r>
    <x v="42"/>
    <s v="Husdyrgødning"/>
    <n v="1"/>
    <x v="1"/>
    <s v="Vestdanmark"/>
    <n v="12059866.540704856"/>
    <n v="0"/>
    <n v="0"/>
    <n v="0"/>
    <n v="6391729.2665735735"/>
    <n v="5668137.2741312822"/>
    <n v="0"/>
    <n v="0"/>
    <n v="0"/>
    <n v="0"/>
    <n v="6391729.2665735735"/>
    <n v="0"/>
    <n v="2.7535569680398959"/>
    <n v="2.7535569680398959"/>
    <n v="0"/>
    <n v="0"/>
    <n v="319586.46332867868"/>
    <n v="319586.46332867868"/>
    <n v="0"/>
    <x v="0"/>
  </r>
  <r>
    <x v="43"/>
    <s v="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  <x v="0"/>
  </r>
  <r>
    <x v="1"/>
    <s v=""/>
    <n v="0"/>
    <x v="2"/>
    <s v="Vestdanmark"/>
    <n v="279414.6339744032"/>
    <n v="51598.780380153592"/>
    <n v="0"/>
    <n v="0"/>
    <n v="0"/>
    <n v="0"/>
    <n v="0"/>
    <n v="0"/>
    <n v="227815.85359424961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34305248.86575383"/>
    <n v="0"/>
    <n v="0"/>
    <n v="0"/>
    <n v="0"/>
    <n v="0"/>
    <n v="434305248.86575383"/>
    <n v="0"/>
    <n v="0"/>
    <n v="0"/>
    <n v="434305248.86575383"/>
    <n v="0"/>
    <n v="0"/>
    <n v="0"/>
    <n v="0"/>
    <n v="0"/>
    <n v="0"/>
    <n v="0"/>
    <n v="0"/>
    <x v="0"/>
  </r>
  <r>
    <x v="4"/>
    <s v=""/>
    <n v="0"/>
    <x v="2"/>
    <s v="Vestdanmark"/>
    <n v="16361961.782417906"/>
    <n v="0"/>
    <n v="0"/>
    <n v="0"/>
    <n v="0"/>
    <n v="13769683.498114759"/>
    <n v="0"/>
    <n v="0"/>
    <n v="2592278.2843031473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6892.4253779859373"/>
    <n v="0"/>
    <n v="0"/>
    <n v="0"/>
    <n v="3446.2126889929687"/>
    <n v="3446.2126889929687"/>
    <n v="0"/>
    <n v="0"/>
    <n v="0"/>
    <n v="0"/>
    <n v="3446.2126889929687"/>
    <n v="0"/>
    <n v="1.6207193655065032E-3"/>
    <n v="1.6207193655065032E-3"/>
    <n v="0"/>
    <n v="0"/>
    <n v="217.11139940655701"/>
    <n v="217.11139940655701"/>
    <n v="0"/>
    <x v="0"/>
  </r>
  <r>
    <x v="9"/>
    <s v="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  <x v="0"/>
  </r>
  <r>
    <x v="10"/>
    <s v="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  <x v="0"/>
  </r>
  <r>
    <x v="11"/>
    <s v="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7271454.74298735"/>
    <n v="9790151.9274066389"/>
    <n v="0"/>
    <n v="0"/>
    <n v="75527.053678542026"/>
    <n v="0"/>
    <n v="0"/>
    <n v="0"/>
    <n v="7405775.7619021684"/>
    <n v="7405775.7619021684"/>
    <n v="75527.053678542026"/>
    <n v="13.625701679929753"/>
    <n v="13.76466201781656"/>
    <n v="0.13896033788680751"/>
    <n v="13.625701679929753"/>
    <n v="2073617.2133326074"/>
    <n v="2094764.7883625992"/>
    <n v="21147.575029991771"/>
    <n v="2073617.2133326074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618468.71483434096"/>
    <n v="579210.80448009283"/>
    <n v="0"/>
    <n v="53363.755309158871"/>
    <n v="0"/>
    <n v="1303036.156330572"/>
    <n v="0"/>
    <n v="0"/>
    <n v="0"/>
    <n v="1356399.9116397309"/>
    <n v="0"/>
    <n v="13.775600230507971"/>
    <n v="0.30767086578516784"/>
    <n v="13.467929364722803"/>
    <n v="0"/>
    <n v="1152939.9248937713"/>
    <n v="45359.192012785039"/>
    <n v="1107580.7328809863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  <x v="1"/>
  </r>
  <r>
    <x v="20"/>
    <s v="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  <x v="0"/>
  </r>
  <r>
    <x v="21"/>
    <s v="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50959.0772760846"/>
    <n v="4703372.1615964994"/>
    <n v="0"/>
    <n v="307470.55071854044"/>
    <n v="2825.7560217041437"/>
    <n v="0"/>
    <n v="0"/>
    <n v="0"/>
    <n v="2437290.6089393403"/>
    <n v="2437290.6089393403"/>
    <n v="2825.7560217041437"/>
    <n v="8.3473791149319911"/>
    <n v="8.3570569337004841"/>
    <n v="9.6778187684936554E-3"/>
    <n v="8.3473791149319911"/>
    <n v="755560.0887711955"/>
    <n v="756436.07313792373"/>
    <n v="875.9843667282845"/>
    <n v="755560.08877119538"/>
    <x v="0"/>
  </r>
  <r>
    <x v="23"/>
    <s v=""/>
    <n v="0"/>
    <x v="2"/>
    <s v="Vestdanmark"/>
    <n v="0"/>
    <n v="0"/>
    <n v="0"/>
    <n v="0"/>
    <n v="0"/>
    <n v="781289.12421925121"/>
    <n v="0"/>
    <n v="0"/>
    <n v="-781289.12421925121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0188325.202039858"/>
    <n v="0"/>
    <n v="0"/>
    <n v="0"/>
    <n v="7743127.1535502924"/>
    <n v="2445198.048489566"/>
    <n v="0"/>
    <n v="0"/>
    <n v="0"/>
    <n v="0"/>
    <n v="7743127.1535502924"/>
    <n v="0"/>
    <n v="3.9194935338556229"/>
    <n v="3.9194935338556229"/>
    <n v="0"/>
    <n v="0"/>
    <n v="588477.66366982216"/>
    <n v="588477.66366982216"/>
    <n v="0"/>
    <x v="0"/>
  </r>
  <r>
    <x v="25"/>
    <s v="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53109.1121058436"/>
    <n v="4525643.0291759707"/>
    <n v="0"/>
    <n v="0"/>
    <n v="314525.12457946909"/>
    <n v="0"/>
    <n v="0"/>
    <n v="0"/>
    <n v="3512940.9583504042"/>
    <n v="3353627.3013542485"/>
    <n v="314525.12457946909"/>
    <n v="12.039522011861754"/>
    <n v="13.168667209102049"/>
    <n v="1.1291451972402942"/>
    <n v="12.039522011861754"/>
    <n v="1006088.1904062745"/>
    <n v="1100445.7277801153"/>
    <n v="94357.537373840722"/>
    <n v="1006088.1904062746"/>
    <x v="0"/>
  </r>
  <r>
    <x v="27"/>
    <s v="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  <x v="1"/>
  </r>
  <r>
    <x v="30"/>
    <s v="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  <x v="0"/>
  </r>
  <r>
    <x v="35"/>
    <s v="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62311.54417595419"/>
    <n v="171279.2848730098"/>
    <n v="0"/>
    <n v="0"/>
    <n v="0"/>
    <n v="0"/>
    <n v="0"/>
    <n v="0"/>
    <n v="91032.259302944381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  <x v="0"/>
  </r>
  <r>
    <x v="38"/>
    <s v="Græs og urter"/>
    <n v="1"/>
    <x v="2"/>
    <s v="Vestdanmark"/>
    <n v="408411.71044063132"/>
    <n v="672934.09412450308"/>
    <n v="0"/>
    <n v="0"/>
    <n v="4034.0707756292709"/>
    <n v="0"/>
    <n v="0"/>
    <n v="0"/>
    <n v="-268556.45445950102"/>
    <n v="0"/>
    <n v="4034.0707756292709"/>
    <n v="0"/>
    <n v="1.0948629447888866E-2"/>
    <n v="1.0948629447888866E-2"/>
    <n v="0"/>
    <n v="0"/>
    <n v="806.8141551258542"/>
    <n v="806.8141551258542"/>
    <n v="0"/>
    <x v="0"/>
  </r>
  <r>
    <x v="39"/>
    <s v="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  <x v="0"/>
  </r>
  <r>
    <x v="40"/>
    <s v="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  <x v="0"/>
  </r>
  <r>
    <x v="42"/>
    <s v="Husdyrgødning"/>
    <n v="1"/>
    <x v="2"/>
    <s v="Vestdanmark"/>
    <n v="11545833.414063649"/>
    <n v="0"/>
    <n v="0"/>
    <n v="0"/>
    <n v="6119291.7094537346"/>
    <n v="5426541.7046099147"/>
    <n v="0"/>
    <n v="0"/>
    <n v="0"/>
    <n v="0"/>
    <n v="6119291.7094537346"/>
    <n v="0"/>
    <n v="2.6361908684326694"/>
    <n v="2.6361908684326694"/>
    <n v="0"/>
    <n v="0"/>
    <n v="305964.58547268674"/>
    <n v="305964.58547268674"/>
    <n v="0"/>
    <x v="0"/>
  </r>
  <r>
    <x v="43"/>
    <s v="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x v="0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6333.2934029920762"/>
    <n v="0"/>
    <n v="0"/>
    <n v="0"/>
    <n v="0"/>
    <n v="0"/>
    <n v="0"/>
    <n v="22219.132039015061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3250703.76009664"/>
    <n v="0"/>
    <n v="0"/>
    <n v="0"/>
    <n v="0"/>
    <n v="0"/>
    <n v="103250703.76009664"/>
    <n v="0"/>
    <n v="0"/>
    <n v="0"/>
    <n v="103250703.76009664"/>
    <n v="0"/>
    <n v="0"/>
    <n v="0"/>
    <n v="0"/>
    <n v="0"/>
    <n v="0"/>
    <n v="0"/>
    <n v="0"/>
    <x v="0"/>
  </r>
  <r>
    <x v="4"/>
    <s v=""/>
    <n v="0"/>
    <x v="1"/>
    <s v="Østdanmark"/>
    <n v="3113194.8160989988"/>
    <n v="0"/>
    <n v="0"/>
    <n v="0"/>
    <n v="0"/>
    <n v="2648877.5690380111"/>
    <n v="0"/>
    <n v="0"/>
    <n v="464317.24706098763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560.16154012228367"/>
    <n v="0"/>
    <n v="0"/>
    <n v="0"/>
    <n v="280.08077006114183"/>
    <n v="280.08077006114183"/>
    <n v="0"/>
    <n v="0"/>
    <n v="0"/>
    <n v="0"/>
    <n v="280.08077006114183"/>
    <n v="0"/>
    <n v="1.317191853520544E-4"/>
    <n v="1.317191853520544E-4"/>
    <n v="0"/>
    <n v="0"/>
    <n v="17.645088513851935"/>
    <n v="17.645088513851935"/>
    <n v="0"/>
    <x v="0"/>
  </r>
  <r>
    <x v="9"/>
    <s v="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201654.4608093714"/>
    <n v="0"/>
    <n v="0"/>
    <n v="10062.940438050116"/>
    <n v="0"/>
    <n v="0"/>
    <n v="0"/>
    <n v="979275.23027812573"/>
    <n v="979275.23027812573"/>
    <n v="10062.940438050116"/>
    <n v="1.8017440143079666"/>
    <n v="1.820258566846424"/>
    <n v="1.8514552538457459E-2"/>
    <n v="1.8017440143079666"/>
    <n v="274197.06447787525"/>
    <n v="277014.68780052924"/>
    <n v="2817.623322654033"/>
    <n v="274197.06447787519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75911.558427530035"/>
    <n v="82816.687681498166"/>
    <n v="0"/>
    <n v="22289.419693838598"/>
    <n v="0"/>
    <n v="756737.32303016982"/>
    <n v="0"/>
    <n v="0"/>
    <n v="0"/>
    <n v="779026.74272400839"/>
    <n v="0"/>
    <n v="7.9500009612564133"/>
    <n v="0.1285105408216142"/>
    <n v="7.8214904204347988"/>
    <n v="0"/>
    <n v="662172.73131540709"/>
    <n v="18946.006739762808"/>
    <n v="643226.72457564424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  <x v="1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577297.28616440261"/>
    <n v="0"/>
    <n v="256234.83946537593"/>
    <n v="952.06663022948101"/>
    <n v="0"/>
    <n v="0"/>
    <n v="0"/>
    <n v="1574682.9124116749"/>
    <n v="1574682.9124116749"/>
    <n v="952.06663022948101"/>
    <n v="5.3930685194022496"/>
    <n v="5.3963292143214572"/>
    <n v="3.2606949192077409E-3"/>
    <n v="5.3930685194022496"/>
    <n v="488151.70284761919"/>
    <n v="488446.84350299038"/>
    <n v="295.14065537113913"/>
    <n v="488151.70284761925"/>
    <x v="0"/>
  </r>
  <r>
    <x v="23"/>
    <s v=""/>
    <n v="0"/>
    <x v="1"/>
    <s v="Østdanmark"/>
    <n v="0"/>
    <n v="0"/>
    <n v="0"/>
    <n v="0"/>
    <n v="0"/>
    <n v="395773.41834279301"/>
    <n v="0"/>
    <n v="0"/>
    <n v="-395773.41834279301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738231.33813296724"/>
    <n v="0"/>
    <n v="0"/>
    <n v="0"/>
    <n v="561055.81698105508"/>
    <n v="177175.52115191214"/>
    <n v="0"/>
    <n v="0"/>
    <n v="0"/>
    <n v="0"/>
    <n v="561055.81698105508"/>
    <n v="0"/>
    <n v="0.28400084399764031"/>
    <n v="0.28400084399764031"/>
    <n v="0"/>
    <n v="0"/>
    <n v="42640.242090560183"/>
    <n v="42640.242090560183"/>
    <n v="0"/>
    <x v="0"/>
  </r>
  <r>
    <x v="25"/>
    <s v="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555482.60888742993"/>
    <n v="0"/>
    <n v="0"/>
    <n v="15333.686496408332"/>
    <n v="0"/>
    <n v="0"/>
    <n v="0"/>
    <n v="-181821.92523813841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  <x v="1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21023.015601598698"/>
    <n v="0"/>
    <n v="0"/>
    <n v="0"/>
    <n v="0"/>
    <n v="0"/>
    <n v="0"/>
    <n v="81180.880041585086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82596.701464021666"/>
    <n v="0"/>
    <n v="0"/>
    <n v="24569.279216726416"/>
    <n v="0"/>
    <n v="0"/>
    <n v="0"/>
    <n v="2274572.6185528086"/>
    <n v="1992661.9607506471"/>
    <n v="24569.279216726416"/>
    <n v="5.4081642679556863"/>
    <n v="5.4748462745210507"/>
    <n v="6.668200656536416E-2"/>
    <n v="5.4081642679556863"/>
    <n v="398532.39215012942"/>
    <n v="403446.24799347471"/>
    <n v="4913.8558433452836"/>
    <n v="398532.39215012942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x v="0"/>
  </r>
  <r>
    <x v="42"/>
    <s v="Husdyrgødning"/>
    <n v="1"/>
    <x v="1"/>
    <s v="Østdanmark"/>
    <n v="1747439.8704342765"/>
    <n v="0"/>
    <n v="0"/>
    <n v="0"/>
    <n v="926143.13133016659"/>
    <n v="821296.73910410993"/>
    <n v="0"/>
    <n v="0"/>
    <n v="0"/>
    <n v="0"/>
    <n v="926143.13133016659"/>
    <n v="0"/>
    <n v="0.39898246097703582"/>
    <n v="0.39898246097703582"/>
    <n v="0"/>
    <n v="0"/>
    <n v="46307.156566508333"/>
    <n v="46307.156566508333"/>
    <n v="0"/>
    <x v="0"/>
  </r>
  <r>
    <x v="43"/>
    <s v="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  <x v="0"/>
  </r>
  <r>
    <x v="1"/>
    <s v=""/>
    <n v="0"/>
    <x v="2"/>
    <s v="Østdanmark"/>
    <n v="29872.966694552277"/>
    <n v="6333.293402992078"/>
    <n v="0"/>
    <n v="0"/>
    <n v="0"/>
    <n v="0"/>
    <n v="0"/>
    <n v="0"/>
    <n v="23539.673291560197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4340897.10458454"/>
    <n v="0"/>
    <n v="0"/>
    <n v="0"/>
    <n v="0"/>
    <n v="0"/>
    <n v="104340897.10458454"/>
    <n v="0"/>
    <n v="0"/>
    <n v="0"/>
    <n v="104340897.10458454"/>
    <n v="0"/>
    <n v="0"/>
    <n v="0"/>
    <n v="0"/>
    <n v="0"/>
    <n v="0"/>
    <n v="0"/>
    <n v="0"/>
    <x v="0"/>
  </r>
  <r>
    <x v="4"/>
    <s v=""/>
    <n v="0"/>
    <x v="2"/>
    <s v="Østdanmark"/>
    <n v="3132565.3017730014"/>
    <n v="0"/>
    <n v="0"/>
    <n v="0"/>
    <n v="0"/>
    <n v="2636262.8953785724"/>
    <n v="0"/>
    <n v="0"/>
    <n v="496302.40639442904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578.47871789484248"/>
    <n v="0"/>
    <n v="0"/>
    <n v="0"/>
    <n v="289.23935894742124"/>
    <n v="289.23935894742124"/>
    <n v="0"/>
    <n v="0"/>
    <n v="0"/>
    <n v="0"/>
    <n v="289.23935894742124"/>
    <n v="0"/>
    <n v="1.3602637811938273E-4"/>
    <n v="1.3602637811938273E-4"/>
    <n v="0"/>
    <n v="0"/>
    <n v="18.222079613687537"/>
    <n v="18.222079613687537"/>
    <n v="0"/>
    <x v="0"/>
  </r>
  <r>
    <x v="9"/>
    <s v="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  <x v="0"/>
  </r>
  <r>
    <x v="11"/>
    <s v="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321080.0633232924"/>
    <n v="1201654.4608093717"/>
    <n v="0"/>
    <n v="0"/>
    <n v="10149.946321457955"/>
    <n v="0"/>
    <n v="0"/>
    <n v="0"/>
    <n v="1109275.6561924629"/>
    <n v="1109275.6561924629"/>
    <n v="10149.946321457955"/>
    <n v="2.0409285479371078"/>
    <n v="2.0596031804253001"/>
    <n v="1.8674632488192455E-2"/>
    <n v="2.0409285479371078"/>
    <n v="310597.18373388966"/>
    <n v="313439.16870389786"/>
    <n v="2841.9849700082277"/>
    <n v="310597.1837338896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75911.55842753005"/>
    <n v="82449.939525946174"/>
    <n v="0"/>
    <n v="22570.244690841144"/>
    <n v="0"/>
    <n v="736790.52495436871"/>
    <n v="0"/>
    <n v="0"/>
    <n v="0"/>
    <n v="759360.76964520989"/>
    <n v="0"/>
    <n v="7.7454538270123328"/>
    <n v="0.13012964857483225"/>
    <n v="7.6153241784375005"/>
    <n v="0"/>
    <n v="645456.65419842838"/>
    <n v="19184.707987214973"/>
    <n v="626271.94621121336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  <x v="1"/>
  </r>
  <r>
    <x v="20"/>
    <s v="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31973.2246977086"/>
    <n v="577297.28616440273"/>
    <n v="0"/>
    <n v="268249.01834925939"/>
    <n v="960.24397829585621"/>
    <n v="0"/>
    <n v="0"/>
    <n v="0"/>
    <n v="1685466.6762057506"/>
    <n v="1685466.6762057506"/>
    <n v="960.24397829585621"/>
    <n v="5.7724874006700277"/>
    <n v="5.7757761018615339"/>
    <n v="3.2887011915063466E-3"/>
    <n v="5.7724874006700277"/>
    <n v="522494.66962378268"/>
    <n v="522792.34525705443"/>
    <n v="297.67563327171541"/>
    <n v="522494.66962378274"/>
    <x v="0"/>
  </r>
  <r>
    <x v="23"/>
    <s v=""/>
    <n v="0"/>
    <x v="2"/>
    <s v="Østdanmark"/>
    <n v="0"/>
    <n v="0"/>
    <n v="0"/>
    <n v="0"/>
    <n v="0"/>
    <n v="385663.66895741841"/>
    <n v="0"/>
    <n v="0"/>
    <n v="-385663.6689574184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724125.12538599269"/>
    <n v="0"/>
    <n v="0"/>
    <n v="0"/>
    <n v="550335.09529335448"/>
    <n v="173790.03009263825"/>
    <n v="0"/>
    <n v="0"/>
    <n v="0"/>
    <n v="0"/>
    <n v="550335.09529335448"/>
    <n v="0"/>
    <n v="0.27857412188654312"/>
    <n v="0.27857412188654312"/>
    <n v="0"/>
    <n v="0"/>
    <n v="41825.467242294937"/>
    <n v="41825.467242294937"/>
    <n v="0"/>
    <x v="0"/>
  </r>
  <r>
    <x v="25"/>
    <s v="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11669.82731180527"/>
    <n v="555482.60888743005"/>
    <n v="0"/>
    <n v="0"/>
    <n v="15500.875420530891"/>
    <n v="0"/>
    <n v="0"/>
    <n v="0"/>
    <n v="-159313.65699615568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  <x v="1"/>
  </r>
  <r>
    <x v="30"/>
    <s v="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  <x v="0"/>
  </r>
  <r>
    <x v="35"/>
    <s v="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106827.26455559974"/>
    <n v="21023.015601598701"/>
    <n v="0"/>
    <n v="0"/>
    <n v="0"/>
    <n v="0"/>
    <n v="0"/>
    <n v="0"/>
    <n v="85804.248954001043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  <x v="0"/>
  </r>
  <r>
    <x v="38"/>
    <s v="Græs og urter"/>
    <n v="1"/>
    <x v="2"/>
    <s v="Østdanmark"/>
    <n v="2491625.0257138005"/>
    <n v="82596.70146402168"/>
    <n v="0"/>
    <n v="0"/>
    <n v="24610.929224370735"/>
    <n v="0"/>
    <n v="0"/>
    <n v="0"/>
    <n v="2384417.3950254079"/>
    <n v="2115860.9405659069"/>
    <n v="24610.929224370735"/>
    <n v="5.7425312271334938"/>
    <n v="5.8093262734856053"/>
    <n v="6.6795046352111156E-2"/>
    <n v="5.7425312271334938"/>
    <n v="423172.18811318139"/>
    <n v="428094.37395805551"/>
    <n v="4922.1858448741477"/>
    <n v="423172.18811318139"/>
    <x v="0"/>
  </r>
  <r>
    <x v="39"/>
    <s v="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  <x v="0"/>
  </r>
  <r>
    <x v="40"/>
    <s v="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  <x v="0"/>
  </r>
  <r>
    <x v="42"/>
    <s v="Husdyrgødning"/>
    <n v="1"/>
    <x v="2"/>
    <s v="Østdanmark"/>
    <n v="1672957.9533098161"/>
    <n v="0"/>
    <n v="0"/>
    <n v="0"/>
    <n v="886667.7152542026"/>
    <n v="786290.23805561347"/>
    <n v="0"/>
    <n v="0"/>
    <n v="0"/>
    <n v="0"/>
    <n v="886667.7152542026"/>
    <n v="0"/>
    <n v="0.38197645173151057"/>
    <n v="0.38197645173151057"/>
    <n v="0"/>
    <n v="0"/>
    <n v="44333.385762710132"/>
    <n v="44333.385762710132"/>
    <n v="0"/>
    <x v="0"/>
  </r>
  <r>
    <x v="43"/>
    <s v="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x v="0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7450959.0772760846"/>
  </r>
  <r>
    <x v="1"/>
    <x v="0"/>
    <x v="2"/>
    <n v="279414.6339744032"/>
  </r>
  <r>
    <x v="2"/>
    <x v="0"/>
    <x v="2"/>
    <n v="524623.08835190837"/>
  </r>
  <r>
    <x v="3"/>
    <x v="0"/>
    <x v="2"/>
    <n v="17271454.74298735"/>
  </r>
  <r>
    <x v="4"/>
    <x v="0"/>
    <x v="2"/>
    <n v="197391.62155129627"/>
  </r>
  <r>
    <x v="5"/>
    <x v="0"/>
    <x v="2"/>
    <n v="2319843.659459726"/>
  </r>
  <r>
    <x v="6"/>
    <x v="0"/>
    <x v="2"/>
    <n v="408411.71044063132"/>
  </r>
  <r>
    <x v="7"/>
    <x v="0"/>
    <x v="2"/>
    <n v="8353109.1121058436"/>
  </r>
  <r>
    <x v="8"/>
    <x v="0"/>
    <x v="2"/>
    <n v="28053.238119137233"/>
  </r>
  <r>
    <x v="9"/>
    <x v="0"/>
    <x v="2"/>
    <n v="1741244.0657606875"/>
  </r>
  <r>
    <x v="10"/>
    <x v="0"/>
    <x v="2"/>
    <n v="958505.49613034155"/>
  </r>
  <r>
    <x v="11"/>
    <x v="0"/>
    <x v="2"/>
    <n v="828635.16661860154"/>
  </r>
  <r>
    <x v="12"/>
    <x v="0"/>
    <x v="2"/>
    <n v="184273.6818542117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531973.2246977086"/>
  </r>
  <r>
    <x v="1"/>
    <x v="1"/>
    <x v="2"/>
    <n v="29872.966694552277"/>
  </r>
  <r>
    <x v="2"/>
    <x v="1"/>
    <x v="2"/>
    <n v="213654.52911119949"/>
  </r>
  <r>
    <x v="3"/>
    <x v="1"/>
    <x v="2"/>
    <n v="2321080.0633232924"/>
  </r>
  <r>
    <x v="4"/>
    <x v="1"/>
    <x v="2"/>
    <n v="104773.85032405822"/>
  </r>
  <r>
    <x v="5"/>
    <x v="1"/>
    <x v="2"/>
    <n v="128543.17236488358"/>
  </r>
  <r>
    <x v="6"/>
    <x v="1"/>
    <x v="2"/>
    <n v="2491625.0257138005"/>
  </r>
  <r>
    <x v="7"/>
    <x v="1"/>
    <x v="2"/>
    <n v="411669.82731180527"/>
  </r>
  <r>
    <x v="8"/>
    <x v="1"/>
    <x v="2"/>
    <n v="17458.138688631974"/>
  </r>
  <r>
    <x v="9"/>
    <x v="1"/>
    <x v="2"/>
    <n v="437497.02391834371"/>
  </r>
  <r>
    <x v="10"/>
    <x v="1"/>
    <x v="2"/>
    <n v="675013.35123286699"/>
  </r>
  <r>
    <x v="11"/>
    <x v="1"/>
    <x v="2"/>
    <n v="161111.91977130895"/>
  </r>
  <r>
    <x v="12"/>
    <x v="1"/>
    <x v="2"/>
    <n v="41269.159607947513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6391729.2665735735"/>
  </r>
  <r>
    <x v="1"/>
    <s v="Vestdanmark"/>
    <x v="15"/>
    <x v="1"/>
    <n v="7893966.0004921574"/>
  </r>
  <r>
    <x v="1"/>
    <s v="Vestdanmark"/>
    <x v="16"/>
    <x v="1"/>
    <n v="3337.0904542181925"/>
  </r>
  <r>
    <x v="1"/>
    <s v="Vestdanmark"/>
    <x v="17"/>
    <x v="1"/>
    <n v="1497865.6247316466"/>
  </r>
  <r>
    <x v="1"/>
    <s v="Vestdanmark"/>
    <x v="18"/>
    <x v="1"/>
    <n v="195082.24112879002"/>
  </r>
  <r>
    <x v="1"/>
    <s v="Vestdanmark"/>
    <x v="19"/>
    <x v="1"/>
    <n v="508461.98144503916"/>
  </r>
  <r>
    <x v="1"/>
    <s v="Vestdanmark"/>
    <x v="20"/>
    <x v="1"/>
    <n v="1061170.3273835385"/>
  </r>
  <r>
    <x v="1"/>
    <s v="Vestdanmark"/>
    <x v="21"/>
    <x v="1"/>
    <n v="0"/>
  </r>
  <r>
    <x v="1"/>
    <s v="Vestdanmark"/>
    <x v="22"/>
    <x v="1"/>
    <n v="53644.580306161413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6119291.7094537346"/>
  </r>
  <r>
    <x v="1"/>
    <s v="Vestdanmark"/>
    <x v="15"/>
    <x v="2"/>
    <n v="7743127.1535502924"/>
  </r>
  <r>
    <x v="1"/>
    <s v="Vestdanmark"/>
    <x v="16"/>
    <x v="2"/>
    <n v="3446.2126889929687"/>
  </r>
  <r>
    <x v="1"/>
    <s v="Vestdanmark"/>
    <x v="17"/>
    <x v="2"/>
    <n v="1554136.2730559006"/>
  </r>
  <r>
    <x v="1"/>
    <s v="Vestdanmark"/>
    <x v="18"/>
    <x v="2"/>
    <n v="197484.23354298095"/>
  </r>
  <r>
    <x v="1"/>
    <s v="Vestdanmark"/>
    <x v="19"/>
    <x v="2"/>
    <n v="505095.54922592157"/>
  </r>
  <r>
    <x v="1"/>
    <s v="Vestdanmark"/>
    <x v="20"/>
    <x v="2"/>
    <n v="1111191.0910754299"/>
  </r>
  <r>
    <x v="1"/>
    <s v="Vestdanmark"/>
    <x v="21"/>
    <x v="2"/>
    <n v="0"/>
  </r>
  <r>
    <x v="1"/>
    <s v="Vestdanmark"/>
    <x v="22"/>
    <x v="2"/>
    <n v="53363.755309158871"/>
  </r>
  <r>
    <x v="1"/>
    <s v="Vestdanmark"/>
    <x v="0"/>
    <x v="2"/>
    <n v="2825.7560217041437"/>
  </r>
  <r>
    <x v="1"/>
    <s v="Vestdanmark"/>
    <x v="23"/>
    <x v="2"/>
    <n v="75527.053678542026"/>
  </r>
  <r>
    <x v="1"/>
    <s v="Vestdanmark"/>
    <x v="24"/>
    <x v="2"/>
    <n v="314525.12457946909"/>
  </r>
  <r>
    <x v="1"/>
    <s v="Vestdanmark"/>
    <x v="25"/>
    <x v="2"/>
    <n v="4034.0707756292709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926143.13133016659"/>
  </r>
  <r>
    <x v="1"/>
    <s v="Østdanmark"/>
    <x v="15"/>
    <x v="1"/>
    <n v="561055.81698105508"/>
  </r>
  <r>
    <x v="1"/>
    <s v="Østdanmark"/>
    <x v="16"/>
    <x v="1"/>
    <n v="280.08077006114183"/>
  </r>
  <r>
    <x v="1"/>
    <s v="Østdanmark"/>
    <x v="17"/>
    <x v="1"/>
    <n v="1267572.2425659813"/>
  </r>
  <r>
    <x v="1"/>
    <s v="Østdanmark"/>
    <x v="18"/>
    <x v="1"/>
    <n v="168912.75887120995"/>
  </r>
  <r>
    <x v="1"/>
    <s v="Østdanmark"/>
    <x v="19"/>
    <x v="1"/>
    <n v="217506.01855496093"/>
  </r>
  <r>
    <x v="1"/>
    <s v="Østdanmark"/>
    <x v="20"/>
    <x v="1"/>
    <n v="143222.04383687259"/>
  </r>
  <r>
    <x v="1"/>
    <s v="Østdanmark"/>
    <x v="21"/>
    <x v="1"/>
    <n v="0"/>
  </r>
  <r>
    <x v="1"/>
    <s v="Østdanmark"/>
    <x v="22"/>
    <x v="1"/>
    <n v="22289.419693838598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886667.7152542026"/>
  </r>
  <r>
    <x v="1"/>
    <s v="Østdanmark"/>
    <x v="15"/>
    <x v="2"/>
    <n v="550335.09529335448"/>
  </r>
  <r>
    <x v="1"/>
    <s v="Østdanmark"/>
    <x v="16"/>
    <x v="2"/>
    <n v="289.23935894742124"/>
  </r>
  <r>
    <x v="1"/>
    <s v="Østdanmark"/>
    <x v="17"/>
    <x v="2"/>
    <n v="1326833.4967577588"/>
  </r>
  <r>
    <x v="1"/>
    <s v="Østdanmark"/>
    <x v="18"/>
    <x v="2"/>
    <n v="172292.76645701908"/>
  </r>
  <r>
    <x v="1"/>
    <s v="Østdanmark"/>
    <x v="19"/>
    <x v="2"/>
    <n v="217936.45077407858"/>
  </r>
  <r>
    <x v="1"/>
    <s v="Østdanmark"/>
    <x v="20"/>
    <x v="2"/>
    <n v="150823.24280639994"/>
  </r>
  <r>
    <x v="1"/>
    <s v="Østdanmark"/>
    <x v="21"/>
    <x v="2"/>
    <n v="0"/>
  </r>
  <r>
    <x v="1"/>
    <s v="Østdanmark"/>
    <x v="22"/>
    <x v="2"/>
    <n v="22570.244690841144"/>
  </r>
  <r>
    <x v="1"/>
    <s v="Østdanmark"/>
    <x v="0"/>
    <x v="2"/>
    <n v="960.24397829585621"/>
  </r>
  <r>
    <x v="1"/>
    <s v="Østdanmark"/>
    <x v="23"/>
    <x v="2"/>
    <n v="10149.946321457955"/>
  </r>
  <r>
    <x v="1"/>
    <s v="Østdanmark"/>
    <x v="24"/>
    <x v="2"/>
    <n v="15500.875420530891"/>
  </r>
  <r>
    <x v="1"/>
    <s v="Østdanmark"/>
    <x v="25"/>
    <x v="2"/>
    <n v="24610.929224370735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4703372.1615964994"/>
  </r>
  <r>
    <x v="2"/>
    <s v="Vestdanmark"/>
    <x v="22"/>
    <x v="1"/>
    <n v="618468.71483434096"/>
  </r>
  <r>
    <x v="2"/>
    <s v="Vestdanmark"/>
    <x v="2"/>
    <x v="1"/>
    <n v="0"/>
  </r>
  <r>
    <x v="2"/>
    <s v="Vestdanmark"/>
    <x v="5"/>
    <x v="1"/>
    <n v="51598.780380153592"/>
  </r>
  <r>
    <x v="2"/>
    <s v="Vestdanmark"/>
    <x v="25"/>
    <x v="1"/>
    <n v="672934.09412450308"/>
  </r>
  <r>
    <x v="2"/>
    <s v="Vestdanmark"/>
    <x v="24"/>
    <x v="1"/>
    <n v="4525643.0291759707"/>
  </r>
  <r>
    <x v="2"/>
    <s v="Vestdanmark"/>
    <x v="28"/>
    <x v="1"/>
    <n v="171279.2848730098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9790151.9274066389"/>
  </r>
  <r>
    <x v="2"/>
    <s v="Vestdanmark"/>
    <x v="29"/>
    <x v="1"/>
    <n v="1212571.3389336092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1532.588010093863"/>
  </r>
  <r>
    <x v="2"/>
    <s v="Vestdanmark"/>
    <x v="33"/>
    <x v="1"/>
    <n v="3862742.0312364982"/>
  </r>
  <r>
    <x v="2"/>
    <s v="Vestdanmark"/>
    <x v="0"/>
    <x v="2"/>
    <n v="4703372.1615964994"/>
  </r>
  <r>
    <x v="2"/>
    <s v="Vestdanmark"/>
    <x v="22"/>
    <x v="2"/>
    <n v="618468.71483434096"/>
  </r>
  <r>
    <x v="2"/>
    <s v="Vestdanmark"/>
    <x v="2"/>
    <x v="2"/>
    <n v="0"/>
  </r>
  <r>
    <x v="2"/>
    <s v="Vestdanmark"/>
    <x v="5"/>
    <x v="2"/>
    <n v="51598.780380153592"/>
  </r>
  <r>
    <x v="2"/>
    <s v="Vestdanmark"/>
    <x v="25"/>
    <x v="2"/>
    <n v="672934.09412450308"/>
  </r>
  <r>
    <x v="2"/>
    <s v="Vestdanmark"/>
    <x v="24"/>
    <x v="2"/>
    <n v="4525643.0291759707"/>
  </r>
  <r>
    <x v="2"/>
    <s v="Vestdanmark"/>
    <x v="28"/>
    <x v="2"/>
    <n v="171279.2848730098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9790151.9274066389"/>
  </r>
  <r>
    <x v="2"/>
    <s v="Vestdanmark"/>
    <x v="29"/>
    <x v="2"/>
    <n v="1212571.3389336092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1532.588010093863"/>
  </r>
  <r>
    <x v="2"/>
    <s v="Vestdanmark"/>
    <x v="33"/>
    <x v="2"/>
    <n v="3862742.0312364982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577297.28616440261"/>
  </r>
  <r>
    <x v="2"/>
    <s v="Østdanmark"/>
    <x v="22"/>
    <x v="1"/>
    <n v="75911.558427530035"/>
  </r>
  <r>
    <x v="2"/>
    <s v="Østdanmark"/>
    <x v="2"/>
    <x v="1"/>
    <n v="0"/>
  </r>
  <r>
    <x v="2"/>
    <s v="Østdanmark"/>
    <x v="5"/>
    <x v="1"/>
    <n v="6333.2934029920762"/>
  </r>
  <r>
    <x v="2"/>
    <s v="Østdanmark"/>
    <x v="25"/>
    <x v="1"/>
    <n v="82596.701464021666"/>
  </r>
  <r>
    <x v="2"/>
    <s v="Østdanmark"/>
    <x v="24"/>
    <x v="1"/>
    <n v="555482.60888742993"/>
  </r>
  <r>
    <x v="2"/>
    <s v="Østdanmark"/>
    <x v="28"/>
    <x v="1"/>
    <n v="21023.015601598698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201654.4608093714"/>
  </r>
  <r>
    <x v="2"/>
    <s v="Østdanmark"/>
    <x v="29"/>
    <x v="1"/>
    <n v="148832.3949703137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3870.3459684951581"/>
  </r>
  <r>
    <x v="2"/>
    <s v="Østdanmark"/>
    <x v="33"/>
    <x v="1"/>
    <n v="474117.38114065683"/>
  </r>
  <r>
    <x v="2"/>
    <s v="Østdanmark"/>
    <x v="0"/>
    <x v="2"/>
    <n v="577297.28616440273"/>
  </r>
  <r>
    <x v="2"/>
    <s v="Østdanmark"/>
    <x v="22"/>
    <x v="2"/>
    <n v="75911.55842753005"/>
  </r>
  <r>
    <x v="2"/>
    <s v="Østdanmark"/>
    <x v="2"/>
    <x v="2"/>
    <n v="0"/>
  </r>
  <r>
    <x v="2"/>
    <s v="Østdanmark"/>
    <x v="5"/>
    <x v="2"/>
    <n v="6333.293402992078"/>
  </r>
  <r>
    <x v="2"/>
    <s v="Østdanmark"/>
    <x v="25"/>
    <x v="2"/>
    <n v="82596.70146402168"/>
  </r>
  <r>
    <x v="2"/>
    <s v="Østdanmark"/>
    <x v="24"/>
    <x v="2"/>
    <n v="555482.60888743005"/>
  </r>
  <r>
    <x v="2"/>
    <s v="Østdanmark"/>
    <x v="28"/>
    <x v="2"/>
    <n v="21023.015601598701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201654.4608093717"/>
  </r>
  <r>
    <x v="2"/>
    <s v="Østdanmark"/>
    <x v="29"/>
    <x v="2"/>
    <n v="148832.39497031382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3870.345968495159"/>
  </r>
  <r>
    <x v="2"/>
    <s v="Østdanmark"/>
    <x v="33"/>
    <x v="2"/>
    <n v="474117.381140657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385491.0293729189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56737.32303016982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303036.156330572"/>
  </r>
  <r>
    <x v="3"/>
    <s v="Vestdanmark"/>
    <x v="34"/>
    <x v="2"/>
    <n v="167879.3882726107"/>
  </r>
  <r>
    <x v="3"/>
    <s v="Vestdanmark"/>
    <x v="35"/>
    <x v="2"/>
    <n v="184273.6818542117"/>
  </r>
  <r>
    <x v="3"/>
    <s v="Vestdanmark"/>
    <x v="36"/>
    <x v="2"/>
    <n v="2001216.6464626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1684.14080425573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736790.52495436871"/>
  </r>
  <r>
    <x v="3"/>
    <s v="Østdanmark"/>
    <x v="34"/>
    <x v="2"/>
    <n v="68369.449315583843"/>
  </r>
  <r>
    <x v="3"/>
    <s v="Østdanmark"/>
    <x v="35"/>
    <x v="2"/>
    <n v="41269.159607947513"/>
  </r>
  <r>
    <x v="3"/>
    <s v="Østdanmark"/>
    <x v="36"/>
    <x v="2"/>
    <n v="585136.614594521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1190.9018495406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5668137.2741312822"/>
  </r>
  <r>
    <x v="5"/>
    <s v="Vestdanmark"/>
    <x v="15"/>
    <x v="1"/>
    <n v="2492831.3685764708"/>
  </r>
  <r>
    <x v="5"/>
    <s v="Vestdanmark"/>
    <x v="16"/>
    <x v="1"/>
    <n v="3337.0904542181925"/>
  </r>
  <r>
    <x v="5"/>
    <s v="Vestdanmark"/>
    <x v="20"/>
    <x v="1"/>
    <n v="401728.76679519669"/>
  </r>
  <r>
    <x v="5"/>
    <s v="Vestdanmark"/>
    <x v="38"/>
    <x v="1"/>
    <n v="14170727.436337013"/>
  </r>
  <r>
    <x v="5"/>
    <s v="Vestdanmark"/>
    <x v="39"/>
    <x v="1"/>
    <n v="809729.86780953256"/>
  </r>
  <r>
    <x v="5"/>
    <s v="Vestdanmark"/>
    <x v="14"/>
    <x v="2"/>
    <n v="5426541.7046099147"/>
  </r>
  <r>
    <x v="5"/>
    <s v="Vestdanmark"/>
    <x v="15"/>
    <x v="2"/>
    <n v="2445198.048489566"/>
  </r>
  <r>
    <x v="5"/>
    <s v="Vestdanmark"/>
    <x v="16"/>
    <x v="2"/>
    <n v="3446.2126889929687"/>
  </r>
  <r>
    <x v="5"/>
    <s v="Vestdanmark"/>
    <x v="20"/>
    <x v="2"/>
    <n v="420665.19876426988"/>
  </r>
  <r>
    <x v="5"/>
    <s v="Vestdanmark"/>
    <x v="38"/>
    <x v="2"/>
    <n v="13769683.498114759"/>
  </r>
  <r>
    <x v="5"/>
    <s v="Vestdanmark"/>
    <x v="39"/>
    <x v="2"/>
    <n v="781289.12421925121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821296.73910410993"/>
  </r>
  <r>
    <x v="5"/>
    <s v="Østdanmark"/>
    <x v="15"/>
    <x v="1"/>
    <n v="177175.52115191214"/>
  </r>
  <r>
    <x v="5"/>
    <s v="Østdanmark"/>
    <x v="16"/>
    <x v="1"/>
    <n v="280.08077006114183"/>
  </r>
  <r>
    <x v="5"/>
    <s v="Østdanmark"/>
    <x v="20"/>
    <x v="1"/>
    <n v="54219.773738244621"/>
  </r>
  <r>
    <x v="5"/>
    <s v="Østdanmark"/>
    <x v="38"/>
    <x v="1"/>
    <n v="2648877.5690380111"/>
  </r>
  <r>
    <x v="5"/>
    <s v="Østdanmark"/>
    <x v="39"/>
    <x v="1"/>
    <n v="395773.41834279301"/>
  </r>
  <r>
    <x v="5"/>
    <s v="Østdanmark"/>
    <x v="14"/>
    <x v="2"/>
    <n v="786290.23805561347"/>
  </r>
  <r>
    <x v="5"/>
    <s v="Østdanmark"/>
    <x v="15"/>
    <x v="2"/>
    <n v="173790.03009263825"/>
  </r>
  <r>
    <x v="5"/>
    <s v="Østdanmark"/>
    <x v="16"/>
    <x v="2"/>
    <n v="289.23935894742124"/>
  </r>
  <r>
    <x v="5"/>
    <s v="Østdanmark"/>
    <x v="20"/>
    <x v="2"/>
    <n v="57097.370490994261"/>
  </r>
  <r>
    <x v="5"/>
    <s v="Østdanmark"/>
    <x v="38"/>
    <x v="2"/>
    <n v="2636262.8953785724"/>
  </r>
  <r>
    <x v="5"/>
    <s v="Østdanmark"/>
    <x v="39"/>
    <x v="2"/>
    <n v="385663.66895741841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507790.70515370794"/>
  </r>
  <r>
    <x v="7"/>
    <s v="Vestdanmark"/>
    <x v="40"/>
    <x v="2"/>
    <n v="524623.08835190837"/>
  </r>
  <r>
    <x v="7"/>
    <s v="Østdanmark"/>
    <x v="40"/>
    <x v="0"/>
    <n v="193574.13238370849"/>
  </r>
  <r>
    <x v="7"/>
    <s v="Østdanmark"/>
    <x v="40"/>
    <x v="1"/>
    <n v="204407.79128636757"/>
  </r>
  <r>
    <x v="7"/>
    <s v="Østdanmark"/>
    <x v="40"/>
    <x v="2"/>
    <n v="213654.52911119949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2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9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8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Z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5">
    <i>
      <x/>
    </i>
    <i>
      <x v="1"/>
    </i>
    <i>
      <x v="3"/>
    </i>
    <i>
      <x v="4"/>
    </i>
    <i>
      <x v="5"/>
    </i>
    <i>
      <x v="6"/>
    </i>
    <i>
      <x v="7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6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2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2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2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B3" sqref="B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19" t="s">
        <v>272</v>
      </c>
      <c r="B1" s="419"/>
      <c r="D1" s="75" t="s">
        <v>285</v>
      </c>
    </row>
    <row r="2" spans="1:6" ht="30" x14ac:dyDescent="0.25">
      <c r="A2" s="6" t="s">
        <v>0</v>
      </c>
      <c r="B2" s="222" t="s">
        <v>339</v>
      </c>
    </row>
    <row r="4" spans="1:6" ht="30" customHeight="1" thickBot="1" x14ac:dyDescent="0.3">
      <c r="A4" s="418" t="s">
        <v>271</v>
      </c>
      <c r="B4" s="418"/>
      <c r="D4" s="75"/>
    </row>
    <row r="5" spans="1:6" ht="15.75" thickTop="1" x14ac:dyDescent="0.25">
      <c r="A5" s="254" t="s">
        <v>85</v>
      </c>
      <c r="B5" s="253" t="s">
        <v>305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258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268</v>
      </c>
      <c r="D17" s="216" t="s">
        <v>93</v>
      </c>
      <c r="E17" s="213"/>
    </row>
    <row r="18" spans="1:5" x14ac:dyDescent="0.25">
      <c r="A18" s="204" t="s">
        <v>73</v>
      </c>
      <c r="B18" s="420" t="s">
        <v>273</v>
      </c>
      <c r="D18" s="212" cm="1">
        <f t="array" ref="D18">[1]!År1</f>
        <v>2019</v>
      </c>
      <c r="E18" s="213"/>
    </row>
    <row r="19" spans="1:5" x14ac:dyDescent="0.25">
      <c r="A19" s="204" t="s">
        <v>254</v>
      </c>
      <c r="B19" s="420"/>
      <c r="D19" s="212" cm="1">
        <f t="array" ref="D19">[1]!År2</f>
        <v>2030</v>
      </c>
      <c r="E19" s="213"/>
    </row>
    <row r="20" spans="1:5" ht="15.75" thickBot="1" x14ac:dyDescent="0.3">
      <c r="A20" s="204" t="s">
        <v>255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306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zoomScale="70" zoomScaleNormal="70" workbookViewId="0">
      <selection activeCell="O152" sqref="O152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299</v>
      </c>
      <c r="B1" s="251"/>
      <c r="C1" s="421" t="s">
        <v>298</v>
      </c>
      <c r="D1" s="421"/>
      <c r="E1" s="421"/>
      <c r="F1" s="421"/>
      <c r="G1" s="421"/>
      <c r="H1" s="421"/>
      <c r="I1" s="421"/>
      <c r="J1" s="421"/>
      <c r="K1" s="421"/>
      <c r="L1" s="421"/>
      <c r="M1" s="421"/>
      <c r="N1" s="421"/>
      <c r="O1" s="421"/>
      <c r="P1" s="421"/>
      <c r="Q1" s="421"/>
      <c r="R1" s="421"/>
    </row>
    <row r="2" spans="1:18" ht="15" customHeight="1" x14ac:dyDescent="0.25">
      <c r="A2" s="251"/>
      <c r="B2" s="251"/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</row>
    <row r="3" spans="1:18" x14ac:dyDescent="0.25">
      <c r="A3" s="75"/>
    </row>
    <row r="34" spans="16:18" ht="15.75" x14ac:dyDescent="0.25">
      <c r="P34" s="340" t="s">
        <v>93</v>
      </c>
      <c r="Q34" s="340" t="s">
        <v>336</v>
      </c>
      <c r="R34" s="340" t="s">
        <v>337</v>
      </c>
    </row>
    <row r="35" spans="16:18" ht="15.75" x14ac:dyDescent="0.25">
      <c r="P35" s="340">
        <v>1990</v>
      </c>
      <c r="Q35" s="343">
        <v>20000000</v>
      </c>
      <c r="R35" s="342"/>
    </row>
    <row r="36" spans="16:18" ht="15.75" x14ac:dyDescent="0.25">
      <c r="P36" s="340">
        <f>År1</f>
        <v>2019</v>
      </c>
      <c r="Q36" s="341">
        <f>GETPIVOTDATA("Total",'CO2-pivot'!$A$1,"År",P36,"Sted2","CO2 - atmosfære")</f>
        <v>13911562.11827757</v>
      </c>
      <c r="R36" s="342">
        <f>1-Q36/$Q$35</f>
        <v>0.30442189408612153</v>
      </c>
    </row>
    <row r="37" spans="16:18" ht="15.75" x14ac:dyDescent="0.25">
      <c r="P37" s="340">
        <f>År2</f>
        <v>2030</v>
      </c>
      <c r="Q37" s="341">
        <f>GETPIVOTDATA("Total",'CO2-pivot'!$A$1,"År",P37,"Sted2","CO2 - atmosfære")</f>
        <v>12063584.058048794</v>
      </c>
      <c r="R37" s="342">
        <f t="shared" ref="R37:R38" si="0">1-Q37/$Q$35</f>
        <v>0.39682079709756035</v>
      </c>
    </row>
    <row r="38" spans="16:18" ht="15.75" x14ac:dyDescent="0.25">
      <c r="P38" s="340">
        <f>År3</f>
        <v>2050</v>
      </c>
      <c r="Q38" s="341">
        <f>GETPIVOTDATA("Total",'CO2-pivot'!$A$1,"År",P38,"Sted2","CO2 - atmosfære")</f>
        <v>11119784.467439581</v>
      </c>
      <c r="R38" s="342">
        <f t="shared" si="0"/>
        <v>0.44401077662802102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338</v>
      </c>
    </row>
    <row r="2" spans="1:1" x14ac:dyDescent="0.25">
      <c r="A2" s="107">
        <v>2019</v>
      </c>
    </row>
    <row r="3" spans="1:1" x14ac:dyDescent="0.25">
      <c r="A3" s="378">
        <v>2030</v>
      </c>
    </row>
    <row r="4" spans="1:1" x14ac:dyDescent="0.25">
      <c r="A4" s="367">
        <v>2050</v>
      </c>
    </row>
    <row r="5" spans="1:1" x14ac:dyDescent="0.25">
      <c r="A5" s="357" t="s">
        <v>15</v>
      </c>
    </row>
    <row r="6" spans="1:1" x14ac:dyDescent="0.25">
      <c r="A6" s="379" t="s">
        <v>49</v>
      </c>
    </row>
    <row r="7" spans="1:1" x14ac:dyDescent="0.25">
      <c r="A7" s="377" t="s">
        <v>182</v>
      </c>
    </row>
    <row r="8" spans="1:1" x14ac:dyDescent="0.25">
      <c r="A8" s="368" t="s">
        <v>32</v>
      </c>
    </row>
    <row r="9" spans="1:1" x14ac:dyDescent="0.25">
      <c r="A9" s="355" t="s">
        <v>102</v>
      </c>
    </row>
    <row r="10" spans="1:1" x14ac:dyDescent="0.25">
      <c r="A10" s="380" t="s">
        <v>109</v>
      </c>
    </row>
    <row r="11" spans="1:1" x14ac:dyDescent="0.25">
      <c r="A11" s="369" t="s">
        <v>261</v>
      </c>
    </row>
    <row r="12" spans="1:1" x14ac:dyDescent="0.25">
      <c r="A12" s="381" t="s">
        <v>110</v>
      </c>
    </row>
    <row r="13" spans="1:1" x14ac:dyDescent="0.25">
      <c r="A13" s="355" t="s">
        <v>230</v>
      </c>
    </row>
    <row r="14" spans="1:1" s="168" customFormat="1" x14ac:dyDescent="0.25">
      <c r="A14" s="382" t="s">
        <v>208</v>
      </c>
    </row>
    <row r="15" spans="1:1" x14ac:dyDescent="0.25">
      <c r="A15" s="360" t="s">
        <v>111</v>
      </c>
    </row>
    <row r="16" spans="1:1" x14ac:dyDescent="0.25">
      <c r="A16" s="383" t="s">
        <v>101</v>
      </c>
    </row>
    <row r="17" spans="1:1" x14ac:dyDescent="0.25">
      <c r="A17" s="384" t="s">
        <v>204</v>
      </c>
    </row>
    <row r="18" spans="1:1" x14ac:dyDescent="0.25">
      <c r="A18" s="385" t="s">
        <v>19</v>
      </c>
    </row>
    <row r="19" spans="1:1" x14ac:dyDescent="0.25">
      <c r="A19" s="386" t="s">
        <v>137</v>
      </c>
    </row>
    <row r="20" spans="1:1" x14ac:dyDescent="0.25">
      <c r="A20" s="402" t="s">
        <v>96</v>
      </c>
    </row>
    <row r="21" spans="1:1" x14ac:dyDescent="0.25">
      <c r="A21" s="416" t="s">
        <v>113</v>
      </c>
    </row>
    <row r="22" spans="1:1" x14ac:dyDescent="0.25">
      <c r="A22" s="417" t="s">
        <v>54</v>
      </c>
    </row>
    <row r="23" spans="1:1" x14ac:dyDescent="0.25">
      <c r="A23" s="354" t="s">
        <v>158</v>
      </c>
    </row>
    <row r="24" spans="1:1" x14ac:dyDescent="0.25">
      <c r="A24" s="370" t="s">
        <v>51</v>
      </c>
    </row>
    <row r="25" spans="1:1" x14ac:dyDescent="0.25">
      <c r="A25" s="370" t="s">
        <v>224</v>
      </c>
    </row>
    <row r="26" spans="1:1" x14ac:dyDescent="0.25">
      <c r="A26" s="358" t="s">
        <v>203</v>
      </c>
    </row>
    <row r="27" spans="1:1" x14ac:dyDescent="0.25">
      <c r="A27" s="414" t="s">
        <v>6</v>
      </c>
    </row>
    <row r="28" spans="1:1" x14ac:dyDescent="0.25">
      <c r="A28" s="353" t="s">
        <v>67</v>
      </c>
    </row>
    <row r="29" spans="1:1" x14ac:dyDescent="0.25">
      <c r="A29" s="353" t="s">
        <v>227</v>
      </c>
    </row>
    <row r="30" spans="1:1" x14ac:dyDescent="0.25">
      <c r="A30" s="359" t="s">
        <v>200</v>
      </c>
    </row>
    <row r="31" spans="1:1" x14ac:dyDescent="0.25">
      <c r="A31" s="352" t="s">
        <v>226</v>
      </c>
    </row>
    <row r="32" spans="1:1" x14ac:dyDescent="0.25">
      <c r="A32" s="415" t="s">
        <v>162</v>
      </c>
    </row>
    <row r="33" spans="1:1" x14ac:dyDescent="0.25">
      <c r="A33" s="361" t="s">
        <v>193</v>
      </c>
    </row>
    <row r="34" spans="1:1" x14ac:dyDescent="0.25">
      <c r="A34" s="356" t="s">
        <v>222</v>
      </c>
    </row>
    <row r="35" spans="1:1" x14ac:dyDescent="0.25">
      <c r="A35" s="365" t="s">
        <v>11</v>
      </c>
    </row>
    <row r="36" spans="1:1" x14ac:dyDescent="0.25">
      <c r="A36" s="401" t="s">
        <v>159</v>
      </c>
    </row>
    <row r="37" spans="1:1" x14ac:dyDescent="0.25">
      <c r="A37" s="350" t="s">
        <v>103</v>
      </c>
    </row>
    <row r="38" spans="1:1" x14ac:dyDescent="0.25">
      <c r="A38" s="410" t="s">
        <v>56</v>
      </c>
    </row>
    <row r="39" spans="1:1" x14ac:dyDescent="0.25">
      <c r="A39" s="411" t="s">
        <v>12</v>
      </c>
    </row>
    <row r="40" spans="1:1" x14ac:dyDescent="0.25">
      <c r="A40" s="412" t="s">
        <v>48</v>
      </c>
    </row>
    <row r="41" spans="1:1" x14ac:dyDescent="0.25">
      <c r="A41" s="389" t="s">
        <v>115</v>
      </c>
    </row>
    <row r="42" spans="1:1" x14ac:dyDescent="0.25">
      <c r="A42" s="387" t="s">
        <v>136</v>
      </c>
    </row>
    <row r="43" spans="1:1" x14ac:dyDescent="0.25">
      <c r="A43" s="367" t="s">
        <v>9</v>
      </c>
    </row>
    <row r="44" spans="1:1" x14ac:dyDescent="0.25">
      <c r="A44" s="413" t="s">
        <v>108</v>
      </c>
    </row>
    <row r="45" spans="1:1" x14ac:dyDescent="0.25">
      <c r="A45" s="409" t="s">
        <v>53</v>
      </c>
    </row>
    <row r="46" spans="1:1" x14ac:dyDescent="0.25">
      <c r="A46" s="367" t="s">
        <v>194</v>
      </c>
    </row>
    <row r="47" spans="1:1" x14ac:dyDescent="0.25">
      <c r="A47" s="408" t="s">
        <v>116</v>
      </c>
    </row>
    <row r="48" spans="1:1" s="168" customFormat="1" x14ac:dyDescent="0.25">
      <c r="A48" s="407" t="s">
        <v>106</v>
      </c>
    </row>
    <row r="49" spans="1:1" x14ac:dyDescent="0.25">
      <c r="A49" s="366" t="s">
        <v>33</v>
      </c>
    </row>
    <row r="50" spans="1:1" x14ac:dyDescent="0.25">
      <c r="A50" s="403" t="s">
        <v>14</v>
      </c>
    </row>
    <row r="51" spans="1:1" s="168" customFormat="1" x14ac:dyDescent="0.25">
      <c r="A51" s="404" t="s">
        <v>55</v>
      </c>
    </row>
    <row r="52" spans="1:1" x14ac:dyDescent="0.25">
      <c r="A52" s="405" t="s">
        <v>38</v>
      </c>
    </row>
    <row r="53" spans="1:1" x14ac:dyDescent="0.25">
      <c r="A53" s="406" t="s">
        <v>95</v>
      </c>
    </row>
    <row r="54" spans="1:1" x14ac:dyDescent="0.25">
      <c r="A54" s="349" t="s">
        <v>309</v>
      </c>
    </row>
    <row r="55" spans="1:1" x14ac:dyDescent="0.25">
      <c r="A55" s="389" t="s">
        <v>310</v>
      </c>
    </row>
    <row r="56" spans="1:1" x14ac:dyDescent="0.25">
      <c r="A56" s="364" t="s">
        <v>313</v>
      </c>
    </row>
    <row r="57" spans="1:1" x14ac:dyDescent="0.25">
      <c r="A57" s="349" t="s">
        <v>315</v>
      </c>
    </row>
    <row r="58" spans="1:1" x14ac:dyDescent="0.25">
      <c r="A58" s="390" t="s">
        <v>117</v>
      </c>
    </row>
    <row r="59" spans="1:1" x14ac:dyDescent="0.25">
      <c r="A59" s="392" t="s">
        <v>50</v>
      </c>
    </row>
    <row r="60" spans="1:1" x14ac:dyDescent="0.25">
      <c r="A60" s="393" t="s">
        <v>238</v>
      </c>
    </row>
    <row r="61" spans="1:1" x14ac:dyDescent="0.25">
      <c r="A61" s="394" t="s">
        <v>231</v>
      </c>
    </row>
    <row r="62" spans="1:1" x14ac:dyDescent="0.25">
      <c r="A62" s="395" t="s">
        <v>52</v>
      </c>
    </row>
    <row r="63" spans="1:1" x14ac:dyDescent="0.25">
      <c r="A63" s="362" t="s">
        <v>10</v>
      </c>
    </row>
    <row r="64" spans="1:1" x14ac:dyDescent="0.25">
      <c r="A64" s="372" t="s">
        <v>176</v>
      </c>
    </row>
    <row r="65" spans="1:8" x14ac:dyDescent="0.25">
      <c r="A65" s="373" t="s">
        <v>177</v>
      </c>
    </row>
    <row r="66" spans="1:8" x14ac:dyDescent="0.25">
      <c r="A66" s="374" t="s">
        <v>178</v>
      </c>
    </row>
    <row r="67" spans="1:8" x14ac:dyDescent="0.25">
      <c r="A67" s="375" t="s">
        <v>179</v>
      </c>
    </row>
    <row r="68" spans="1:8" x14ac:dyDescent="0.25">
      <c r="A68" s="376" t="s">
        <v>180</v>
      </c>
    </row>
    <row r="69" spans="1:8" x14ac:dyDescent="0.25">
      <c r="A69" s="396" t="s">
        <v>121</v>
      </c>
    </row>
    <row r="70" spans="1:8" x14ac:dyDescent="0.25">
      <c r="A70" s="397" t="s">
        <v>107</v>
      </c>
    </row>
    <row r="71" spans="1:8" x14ac:dyDescent="0.25">
      <c r="A71" s="398" t="s">
        <v>140</v>
      </c>
    </row>
    <row r="72" spans="1:8" x14ac:dyDescent="0.25">
      <c r="A72" s="388" t="s">
        <v>135</v>
      </c>
    </row>
    <row r="73" spans="1:8" x14ac:dyDescent="0.25">
      <c r="A73" s="399" t="s">
        <v>13</v>
      </c>
    </row>
    <row r="74" spans="1:8" x14ac:dyDescent="0.25">
      <c r="A74" s="391" t="s">
        <v>99</v>
      </c>
      <c r="H74" s="371" t="s">
        <v>104</v>
      </c>
    </row>
    <row r="75" spans="1:8" x14ac:dyDescent="0.25">
      <c r="A75" s="400" t="s">
        <v>119</v>
      </c>
    </row>
    <row r="76" spans="1:8" x14ac:dyDescent="0.25">
      <c r="A76" s="351" t="s">
        <v>118</v>
      </c>
    </row>
    <row r="77" spans="1:8" x14ac:dyDescent="0.25">
      <c r="A77" s="363" t="s">
        <v>335</v>
      </c>
    </row>
    <row r="78" spans="1:8" x14ac:dyDescent="0.25">
      <c r="A78" s="351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B5" sqref="B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8" t="s">
        <v>274</v>
      </c>
      <c r="B1" s="75" t="s">
        <v>300</v>
      </c>
    </row>
    <row r="2" spans="1:18" ht="42.95" customHeight="1" x14ac:dyDescent="0.25">
      <c r="A2" s="223" t="s">
        <v>284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307</v>
      </c>
      <c r="K2" s="6"/>
      <c r="L2" s="6"/>
      <c r="M2" s="6"/>
      <c r="N2" s="6"/>
      <c r="O2" s="6"/>
      <c r="P2" s="6"/>
    </row>
    <row r="3" spans="1:18" x14ac:dyDescent="0.25">
      <c r="A3" s="2" t="s">
        <v>264</v>
      </c>
      <c r="B3" s="2" t="s">
        <v>266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265</v>
      </c>
      <c r="B4" s="2" t="s">
        <v>267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19" t="s">
        <v>269</v>
      </c>
      <c r="C5" s="9">
        <f>1900*(C2-År1)</f>
        <v>20900</v>
      </c>
      <c r="D5" s="9">
        <f>1900*(D2-År1)</f>
        <v>58900</v>
      </c>
      <c r="E5" s="9" t="s">
        <v>270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592120</v>
      </c>
      <c r="K5" s="17">
        <f t="shared" si="0"/>
        <v>0</v>
      </c>
      <c r="L5" s="17">
        <f t="shared" si="0"/>
        <v>0</v>
      </c>
      <c r="M5" s="18">
        <f t="shared" si="0"/>
        <v>592120</v>
      </c>
      <c r="N5" s="18">
        <f t="shared" si="0"/>
        <v>0</v>
      </c>
      <c r="O5" s="18">
        <f t="shared" si="0"/>
        <v>0</v>
      </c>
      <c r="P5" s="18">
        <f t="shared" si="0"/>
        <v>592120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2399936</v>
      </c>
      <c r="K6" s="17">
        <f t="shared" si="1"/>
        <v>100502</v>
      </c>
      <c r="L6" s="17">
        <f t="shared" si="1"/>
        <v>78232</v>
      </c>
      <c r="M6" s="18">
        <f t="shared" si="1"/>
        <v>2379035.9999999995</v>
      </c>
      <c r="N6" s="18">
        <f t="shared" si="1"/>
        <v>93002</v>
      </c>
      <c r="O6" s="18">
        <f t="shared" si="1"/>
        <v>70732</v>
      </c>
      <c r="P6" s="18">
        <f t="shared" si="1"/>
        <v>2341036</v>
      </c>
      <c r="Q6" s="18">
        <f t="shared" si="1"/>
        <v>93002</v>
      </c>
      <c r="R6" s="18">
        <f t="shared" si="1"/>
        <v>70732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562410</v>
      </c>
      <c r="K7" s="17">
        <f t="shared" si="2"/>
        <v>0</v>
      </c>
      <c r="L7" s="17">
        <f t="shared" si="2"/>
        <v>0</v>
      </c>
      <c r="M7" s="18">
        <f t="shared" si="2"/>
        <v>583310</v>
      </c>
      <c r="N7" s="18">
        <f t="shared" si="2"/>
        <v>0</v>
      </c>
      <c r="O7" s="18">
        <f t="shared" si="2"/>
        <v>0</v>
      </c>
      <c r="P7" s="18">
        <f t="shared" si="2"/>
        <v>621310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393324.00000000006</v>
      </c>
      <c r="K8" s="17">
        <f t="shared" si="3"/>
        <v>61498</v>
      </c>
      <c r="L8" s="17">
        <f t="shared" si="3"/>
        <v>50768</v>
      </c>
      <c r="M8" s="18">
        <f t="shared" si="3"/>
        <v>393324.00000000006</v>
      </c>
      <c r="N8" s="18">
        <f t="shared" si="3"/>
        <v>68998</v>
      </c>
      <c r="O8" s="18">
        <f t="shared" si="3"/>
        <v>58267.999999999993</v>
      </c>
      <c r="P8" s="18">
        <f t="shared" si="3"/>
        <v>393324.00000000006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66640</v>
      </c>
      <c r="K9" s="19">
        <f t="shared" si="4"/>
        <v>0</v>
      </c>
      <c r="L9" s="19">
        <f t="shared" si="4"/>
        <v>0</v>
      </c>
      <c r="M9" s="91">
        <f t="shared" si="4"/>
        <v>66640</v>
      </c>
      <c r="N9" s="91">
        <f t="shared" si="4"/>
        <v>0</v>
      </c>
      <c r="O9" s="91">
        <f t="shared" si="4"/>
        <v>0</v>
      </c>
      <c r="P9" s="91">
        <f t="shared" si="4"/>
        <v>66640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4014430</v>
      </c>
      <c r="K10" s="20">
        <f t="shared" si="5"/>
        <v>162000</v>
      </c>
      <c r="L10" s="20">
        <f t="shared" si="5"/>
        <v>129000</v>
      </c>
      <c r="M10" s="21">
        <f t="shared" si="5"/>
        <v>4014429.9999999995</v>
      </c>
      <c r="N10" s="21">
        <f t="shared" si="5"/>
        <v>162000</v>
      </c>
      <c r="O10" s="21">
        <f t="shared" si="5"/>
        <v>129000</v>
      </c>
      <c r="P10" s="21">
        <f t="shared" si="5"/>
        <v>4014430</v>
      </c>
      <c r="Q10" s="21">
        <f t="shared" si="5"/>
        <v>162000</v>
      </c>
      <c r="R10" s="21">
        <f t="shared" si="5"/>
        <v>129000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301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413346.96815611009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1853876.1391137983</v>
      </c>
      <c r="K26" s="266">
        <f>[1]Jordbundstypefordeling!$D$16*[1]Jordbundstypefordeling!$F$4</f>
        <v>87250.625185185185</v>
      </c>
      <c r="L26" s="266">
        <f>[1]Jordbundstypefordeling!$D$15*[1]Jordbundstypefordeling!$F$4</f>
        <v>67916.965925925921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1835731.8428175019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80739.514074074075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61405.854814814811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1802742.2131878724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80739.514074074075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61405.854814814811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435064.52162306459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453208.81791936088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486198.44754899049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317835.5825103767</v>
      </c>
      <c r="K28" s="266">
        <f>([1]Jordbundstypefordeling!$E$16-[1]Jordbundstypefordeling!$D$16)*SUM([1]Jordbundstypefordeling!$D$3:$D$5)</f>
        <v>53389.374814814815</v>
      </c>
      <c r="L28" s="266">
        <f>([1]Jordbundstypefordeling!$E$15-[1]Jordbundstypefordeling!$D$15)*SUM([1]Jordbundstypefordeling!D3:D5)</f>
        <v>44074.145185185182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317835.5825103767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59900.485925925925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50585.256296296291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317835.5825103767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59900.485925925925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50585.256296296291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47192.371697540235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6">SUM(J25:J29)</f>
        <v>3067315.5831008903</v>
      </c>
      <c r="K30" s="268">
        <f t="shared" si="6"/>
        <v>140640</v>
      </c>
      <c r="L30" s="268">
        <f t="shared" si="6"/>
        <v>111991.11111111109</v>
      </c>
      <c r="M30" s="271">
        <f t="shared" si="6"/>
        <v>3067315.5831008903</v>
      </c>
      <c r="N30" s="271">
        <f t="shared" si="6"/>
        <v>140640</v>
      </c>
      <c r="O30" s="271">
        <f t="shared" si="6"/>
        <v>111991.11111111109</v>
      </c>
      <c r="P30" s="271">
        <f t="shared" si="6"/>
        <v>3067315.5831008903</v>
      </c>
      <c r="Q30" s="271">
        <f t="shared" si="6"/>
        <v>140640</v>
      </c>
      <c r="R30" s="271">
        <f t="shared" si="6"/>
        <v>111991.11111111109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302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178773.03184388991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546059.8608862015</v>
      </c>
      <c r="K36" s="266">
        <f>[1]Jordbundstypefordeling!$D$16*[1]Jordbundstypefordeling!$G$4</f>
        <v>13251.374814814815</v>
      </c>
      <c r="L36" s="266">
        <f>[1]Jordbundstypefordeling!$D$15*[1]Jordbundstypefordeling!$G$4</f>
        <v>10315.034074074074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543304.15718249779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12262.485925925926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9326.1451851851853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538293.78681212745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12262.485925925926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9326.1451851851853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127345.4783769354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130101.1820806391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135111.55245100948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75488.417489623345</v>
      </c>
      <c r="K38" s="266">
        <f>([1]Jordbundstypefordeling!$E$16-[1]Jordbundstypefordeling!$D$16)*[1]Jordbundstypefordeling!$G$4</f>
        <v>8108.6251851851857</v>
      </c>
      <c r="L38" s="266">
        <f>([1]Jordbundstypefordeling!$E$15-[1]Jordbundstypefordeling!$D$15)*[1]Jordbundstypefordeling!$G$4</f>
        <v>6693.8548148148147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75488.417489623345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9097.5140740740753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7682.7437037037034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75488.417489623345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9097.5140740740753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7682.7437037037034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19447.628302459765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7">SUM(J35:J39)</f>
        <v>947114.41689910984</v>
      </c>
      <c r="K40" s="268">
        <f t="shared" si="7"/>
        <v>21360</v>
      </c>
      <c r="L40" s="268">
        <f t="shared" si="7"/>
        <v>17008.888888888891</v>
      </c>
      <c r="M40" s="271">
        <f t="shared" si="7"/>
        <v>947114.41689910972</v>
      </c>
      <c r="N40" s="271">
        <f t="shared" si="7"/>
        <v>21360</v>
      </c>
      <c r="O40" s="271">
        <f t="shared" si="7"/>
        <v>17008.888888888891</v>
      </c>
      <c r="P40" s="271">
        <f t="shared" si="7"/>
        <v>947114.41689910984</v>
      </c>
      <c r="Q40" s="271">
        <f t="shared" si="7"/>
        <v>21360</v>
      </c>
      <c r="R40" s="271">
        <f t="shared" si="7"/>
        <v>17008.888888888891</v>
      </c>
    </row>
    <row r="41" spans="9:18" hidden="1" x14ac:dyDescent="0.25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D11" sqref="D11:E1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274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0.8</v>
      </c>
      <c r="E11" s="3">
        <v>0.8</v>
      </c>
      <c r="G11" s="12"/>
      <c r="I11" s="1"/>
    </row>
    <row r="12" spans="1:9" x14ac:dyDescent="0.25">
      <c r="B12" s="2" t="s">
        <v>3</v>
      </c>
      <c r="C12" s="7">
        <v>1</v>
      </c>
      <c r="D12" s="3">
        <v>0.8</v>
      </c>
      <c r="E12" s="3">
        <v>0.8</v>
      </c>
      <c r="G12" s="12"/>
      <c r="I12" s="1"/>
    </row>
    <row r="13" spans="1:9" x14ac:dyDescent="0.25">
      <c r="B13" s="2" t="s">
        <v>4</v>
      </c>
      <c r="C13" s="7">
        <v>1</v>
      </c>
      <c r="D13" s="3">
        <v>0.8</v>
      </c>
      <c r="E13" s="3">
        <v>0.8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84</v>
      </c>
      <c r="C17" s="87">
        <v>0.59345000000000003</v>
      </c>
      <c r="D17" s="3">
        <v>0.59</v>
      </c>
      <c r="E17" s="3">
        <v>0.59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79"/>
    </row>
    <row r="20" spans="2:11" x14ac:dyDescent="0.25">
      <c r="B20" s="424" t="s">
        <v>326</v>
      </c>
      <c r="C20" s="25"/>
      <c r="D20" s="25"/>
      <c r="E20" s="25"/>
      <c r="F20" s="12"/>
      <c r="I20" s="1"/>
    </row>
    <row r="21" spans="2:11" ht="29.45" customHeight="1" x14ac:dyDescent="0.25">
      <c r="B21" s="424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930.02</v>
      </c>
      <c r="E26" s="10">
        <f>1%*Arealanvendelse!Q6</f>
        <v>930.02</v>
      </c>
      <c r="F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707.32</v>
      </c>
      <c r="E27" s="116">
        <f>1%*Arealanvendelse!R6</f>
        <v>707.32</v>
      </c>
      <c r="F27" s="4"/>
      <c r="G27" s="12"/>
      <c r="H27" s="12"/>
      <c r="I27" s="1"/>
    </row>
    <row r="28" spans="2:11" ht="15.75" thickBot="1" x14ac:dyDescent="0.3">
      <c r="B28" s="232" t="s">
        <v>263</v>
      </c>
      <c r="C28" s="233"/>
      <c r="D28" s="231">
        <f>SUM(D24:D25)</f>
        <v>0</v>
      </c>
      <c r="E28" s="231">
        <f>SUM(E24:E25)</f>
        <v>0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2" t="s">
        <v>325</v>
      </c>
      <c r="C30" s="25"/>
      <c r="D30" s="25"/>
      <c r="E30" s="25"/>
      <c r="K30" s="12"/>
    </row>
    <row r="31" spans="2:11" x14ac:dyDescent="0.25">
      <c r="B31" s="423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291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242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241</v>
      </c>
      <c r="C48" s="109"/>
      <c r="D48" s="115">
        <f>1%*Arealanvendelse!M6</f>
        <v>23790.359999999997</v>
      </c>
      <c r="E48" s="115">
        <f>1%*Arealanvendelse!P6</f>
        <v>23410.36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17" sqref="D17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274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317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f>C3</f>
        <v>0.39994582515067378</v>
      </c>
      <c r="E3" s="311">
        <f>D3</f>
        <v>0.39994582515067378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 t="shared" ref="D4:E17" si="0">C4</f>
        <v>1.1105844111871065E-2</v>
      </c>
      <c r="E4" s="311">
        <f t="shared" si="0"/>
        <v>1.1105844111871065E-2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si="0"/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0"/>
        <v>5.2820478093045303E-3</v>
      </c>
      <c r="E6" s="311">
        <f t="shared" si="0"/>
        <v>5.2820478093045303E-3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f t="shared" si="0"/>
        <v>9.683754317058306E-3</v>
      </c>
      <c r="E7" s="311">
        <f t="shared" si="0"/>
        <v>9.683754317058306E-3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f t="shared" si="0"/>
        <v>0.1132931536534164</v>
      </c>
      <c r="E8" s="311">
        <f t="shared" si="0"/>
        <v>0.1132931536534164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f t="shared" si="0"/>
        <v>1.6320173359517843E-2</v>
      </c>
      <c r="E9" s="311">
        <f t="shared" si="0"/>
        <v>1.6320173359517843E-2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si="0"/>
        <v>0</v>
      </c>
      <c r="E10" s="311">
        <f t="shared" si="0"/>
        <v>0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0"/>
        <v>0</v>
      </c>
      <c r="E11" s="311">
        <f t="shared" si="0"/>
        <v>0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 t="shared" si="0"/>
        <v>0.15385657208640888</v>
      </c>
      <c r="E12" s="311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 t="shared" si="0"/>
        <v>1.1038125550213313E-2</v>
      </c>
      <c r="E13" s="311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318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</v>
      </c>
      <c r="E15" s="311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 t="shared" si="0"/>
        <v>8.1939459605877979E-3</v>
      </c>
      <c r="E16" s="311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 t="shared" si="0"/>
        <v>0.27128055800094808</v>
      </c>
      <c r="E17" s="311">
        <f t="shared" si="0"/>
        <v>0.27128055800094808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319</v>
      </c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9" sqref="C9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274</v>
      </c>
    </row>
    <row r="2" spans="1:4" x14ac:dyDescent="0.25">
      <c r="A2" s="103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283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282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1</v>
      </c>
      <c r="D13" s="8">
        <v>1</v>
      </c>
    </row>
    <row r="14" spans="1:4" x14ac:dyDescent="0.25">
      <c r="A14" s="2" t="s">
        <v>177</v>
      </c>
      <c r="B14" s="7">
        <v>0</v>
      </c>
      <c r="C14" s="8">
        <v>0</v>
      </c>
      <c r="D14" s="8">
        <v>0</v>
      </c>
    </row>
    <row r="15" spans="1:4" x14ac:dyDescent="0.25">
      <c r="A15" s="2" t="s">
        <v>178</v>
      </c>
      <c r="B15" s="7">
        <v>0</v>
      </c>
      <c r="C15" s="8">
        <v>0</v>
      </c>
      <c r="D15" s="8">
        <v>0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1" t="s">
        <v>180</v>
      </c>
      <c r="B17" s="332">
        <v>0</v>
      </c>
      <c r="C17" s="335">
        <v>0</v>
      </c>
      <c r="D17" s="335">
        <v>0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182</v>
      </c>
      <c r="B22" s="182" t="s">
        <v>181</v>
      </c>
      <c r="C22" s="109">
        <f>Arealanvendelse!J27</f>
        <v>435064.52162306459</v>
      </c>
      <c r="D22" s="109">
        <f>C22*(1-$C$9)^(D21-C21)</f>
        <v>411725.30255233188</v>
      </c>
      <c r="E22" s="109">
        <f>D22*(1-$C$9)^(E21-D21)</f>
        <v>372451.02368307725</v>
      </c>
      <c r="F22" s="109">
        <f>Arealanvendelse!J37</f>
        <v>127345.4783769354</v>
      </c>
      <c r="G22" s="109">
        <f>F22*(1-$C$9)^(G21-F21)</f>
        <v>120513.97668054659</v>
      </c>
      <c r="H22" s="109">
        <f>G22*(1-$C$9)^(H21-G21)</f>
        <v>109018.20632479334</v>
      </c>
    </row>
    <row r="23" spans="1:8" hidden="1" x14ac:dyDescent="0.25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37658.711277432194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35652.511073959984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8699.9594896893177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8111.9689677225915</v>
      </c>
    </row>
    <row r="24" spans="1:8" hidden="1" x14ac:dyDescent="0.25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3824.804089596807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36624.011140538823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887.24591040319569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8397.0977821480992</v>
      </c>
    </row>
    <row r="25" spans="1:8" hidden="1" x14ac:dyDescent="0.25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37658.711277432194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8699.9594896893177</v>
      </c>
    </row>
    <row r="26" spans="1:8" hidden="1" x14ac:dyDescent="0.25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3812.1903739821792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884.3198866561213</v>
      </c>
    </row>
    <row r="27" spans="1:8" hidden="1" x14ac:dyDescent="0.25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25" t="s">
        <v>290</v>
      </c>
      <c r="B47" s="2" t="s">
        <v>23</v>
      </c>
      <c r="C47" s="2"/>
      <c r="D47" s="2"/>
      <c r="E47" s="2" t="s">
        <v>24</v>
      </c>
      <c r="F47" s="2"/>
      <c r="G47" s="2"/>
      <c r="H47" s="1" t="s">
        <v>329</v>
      </c>
    </row>
    <row r="48" spans="1:10" hidden="1" x14ac:dyDescent="0.25">
      <c r="A48" s="426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435064.52162306459</v>
      </c>
      <c r="C49" s="109">
        <f t="shared" si="0"/>
        <v>411725.30255233188</v>
      </c>
      <c r="D49" s="109">
        <f t="shared" si="0"/>
        <v>372451.02368307725</v>
      </c>
      <c r="E49" s="109">
        <f t="shared" si="0"/>
        <v>127345.4783769354</v>
      </c>
      <c r="F49" s="109">
        <f t="shared" si="0"/>
        <v>120513.97668054659</v>
      </c>
      <c r="G49" s="109">
        <f t="shared" si="0"/>
        <v>109018.20632479334</v>
      </c>
      <c r="H49" s="109">
        <f>SUM(B49,E49)</f>
        <v>562410</v>
      </c>
      <c r="I49" s="109">
        <f t="shared" ref="I49:J54" si="1">SUM(C49,F49)</f>
        <v>532239.27923287847</v>
      </c>
      <c r="J49" s="109">
        <f t="shared" si="1"/>
        <v>481469.23000787059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41483.515367029002</v>
      </c>
      <c r="D50" s="109">
        <f t="shared" ca="1" si="0"/>
        <v>113747.42386591318</v>
      </c>
      <c r="E50" s="109">
        <f t="shared" ca="1" si="0"/>
        <v>0</v>
      </c>
      <c r="F50" s="109">
        <f t="shared" ca="1" si="0"/>
        <v>9587.2054000925127</v>
      </c>
      <c r="G50" s="109">
        <f t="shared" ca="1" si="0"/>
        <v>26093.346126216129</v>
      </c>
      <c r="H50" s="109">
        <f t="shared" ref="H50:H54" ca="1" si="2">SUM(B50,E50)</f>
        <v>0</v>
      </c>
      <c r="I50" s="109">
        <f t="shared" ca="1" si="1"/>
        <v>51070.720767121515</v>
      </c>
      <c r="J50" s="109">
        <f t="shared" ca="1" si="1"/>
        <v>139840.7699921293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0</v>
      </c>
      <c r="D51" s="109">
        <f t="shared" ca="1" si="0"/>
        <v>0</v>
      </c>
      <c r="E51" s="109">
        <f t="shared" ca="1" si="0"/>
        <v>0</v>
      </c>
      <c r="F51" s="109">
        <f t="shared" ca="1" si="0"/>
        <v>0</v>
      </c>
      <c r="G51" s="109">
        <f t="shared" ca="1" si="0"/>
        <v>0</v>
      </c>
      <c r="H51" s="109">
        <f t="shared" ca="1" si="2"/>
        <v>0</v>
      </c>
      <c r="I51" s="109">
        <f t="shared" ca="1" si="1"/>
        <v>0</v>
      </c>
      <c r="J51" s="109">
        <f t="shared" ca="1" si="1"/>
        <v>0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0</v>
      </c>
      <c r="D52" s="109">
        <f t="shared" ca="1" si="0"/>
        <v>0</v>
      </c>
      <c r="E52" s="109">
        <f t="shared" ca="1" si="0"/>
        <v>0</v>
      </c>
      <c r="F52" s="109">
        <f t="shared" ca="1" si="0"/>
        <v>0</v>
      </c>
      <c r="G52" s="109">
        <f t="shared" ca="1" si="0"/>
        <v>0</v>
      </c>
      <c r="H52" s="109">
        <f t="shared" ca="1" si="2"/>
        <v>0</v>
      </c>
      <c r="I52" s="109">
        <f t="shared" ca="1" si="1"/>
        <v>0</v>
      </c>
      <c r="J52" s="109">
        <f t="shared" ca="1" si="1"/>
        <v>0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330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activeCell="D1" sqref="D1"/>
    </sheetView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332</v>
      </c>
      <c r="E1" s="168" t="s">
        <v>331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*VLOOKUP(A2,Skovbrug!$A$13:$D$17,IF('Skovbrug-alder'!C2&lt;=År2,3,4),FALSE)-IF(C2&gt;2020,SUM(INDEX($C$1:$D$311,MATCH(1,(2020=$C$1:$C$311)*(B2=$B$1:$B$311)*(A2=$A$1:$A$311),0),2):D1),0))</f>
        <v>2175.3226081153261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3824.804089596807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*VLOOKUP(A3,Skovbrug!$A$13:$D$17,IF('Skovbrug-alder'!C3&lt;=År2,3,4),FALSE)-IF(C3&gt;2020,SUM(INDEX($C$1:$D$311,MATCH(1,(2020=$C$1:$C$311)*(B3=$B$1:$B$311)*(A3=$A$1:$A$311),0),2):D2),0))</f>
        <v>2164.4459950746968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3813.9274765561777</v>
      </c>
      <c r="G3" s="168">
        <f ca="1">IF($C3-G$1&lt;År1,0,F2*(1-VLOOKUP($A3,[1]Hugst!$R$5:$W$9,MATCH(ROUNDUP((G$1)/10,0)*10,[1]Hugst!$R$4:$W$4,0))))</f>
        <v>3824.804089596807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*VLOOKUP(A4,Skovbrug!$A$13:$D$17,IF('Skovbrug-alder'!C4&lt;=År2,3,4),FALSE)-IF(C4&gt;2020,SUM(INDEX($C$1:$D$311,MATCH(1,(2020=$C$1:$C$311)*(B4=$B$1:$B$311)*(A4=$A$1:$A$311),0),2):D3),0))</f>
        <v>2153.6237650993862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3803.1052465808671</v>
      </c>
      <c r="G4" s="168">
        <f ca="1">IF($C4-G$1&lt;År1,0,F3*(1-VLOOKUP($A4,[1]Hugst!$R$5:$W$9,MATCH(ROUNDUP((G$1)/10,0)*10,[1]Hugst!$R$4:$W$4,0))))</f>
        <v>3813.9274765561777</v>
      </c>
      <c r="H4" s="168">
        <f ca="1">IF($C4-H$1&lt;År1,0,G3*(1-VLOOKUP($A4,[1]Hugst!$R$5:$W$9,MATCH(ROUNDUP((H$1)/10,0)*10,[1]Hugst!$R$4:$W$4,0))))</f>
        <v>3824.804089596807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*VLOOKUP(A5,Skovbrug!$A$13:$D$17,IF('Skovbrug-alder'!C5&lt;=År2,3,4),FALSE)-IF(C5&gt;2020,SUM(INDEX($C$1:$D$311,MATCH(1,(2020=$C$1:$C$311)*(B5=$B$1:$B$311)*(A5=$A$1:$A$311),0),2):D4),0))</f>
        <v>2142.8556462738779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3792.3371277553588</v>
      </c>
      <c r="G5" s="168">
        <f ca="1">IF($C5-G$1&lt;År1,0,F4*(1-VLOOKUP($A5,[1]Hugst!$R$5:$W$9,MATCH(ROUNDUP((G$1)/10,0)*10,[1]Hugst!$R$4:$W$4,0))))</f>
        <v>3803.1052465808671</v>
      </c>
      <c r="H5" s="168">
        <f ca="1">IF($C5-H$1&lt;År1,0,G4*(1-VLOOKUP($A5,[1]Hugst!$R$5:$W$9,MATCH(ROUNDUP((H$1)/10,0)*10,[1]Hugst!$R$4:$W$4,0))))</f>
        <v>3813.9274765561777</v>
      </c>
      <c r="I5" s="168">
        <f ca="1">IF($C5-I$1&lt;År1,0,H4*(1-VLOOKUP($A5,[1]Hugst!$R$5:$W$9,MATCH(ROUNDUP((I$1)/10,0)*10,[1]Hugst!$R$4:$W$4,0))))</f>
        <v>3824.804089596807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*VLOOKUP(A6,Skovbrug!$A$13:$D$17,IF('Skovbrug-alder'!C6&lt;=År2,3,4),FALSE)-IF(C6&gt;2020,SUM(INDEX($C$1:$D$311,MATCH(1,(2020=$C$1:$C$311)*(B6=$B$1:$B$311)*(A6=$A$1:$A$311),0),2):D5),0))</f>
        <v>2132.141368042503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3781.6228495239839</v>
      </c>
      <c r="G6" s="168">
        <f ca="1">IF($C6-G$1&lt;År1,0,F5*(1-VLOOKUP($A6,[1]Hugst!$R$5:$W$9,MATCH(ROUNDUP((G$1)/10,0)*10,[1]Hugst!$R$4:$W$4,0))))</f>
        <v>3792.3371277553588</v>
      </c>
      <c r="H6" s="168">
        <f ca="1">IF($C6-H$1&lt;År1,0,G5*(1-VLOOKUP($A6,[1]Hugst!$R$5:$W$9,MATCH(ROUNDUP((H$1)/10,0)*10,[1]Hugst!$R$4:$W$4,0))))</f>
        <v>3803.1052465808671</v>
      </c>
      <c r="I6" s="168">
        <f ca="1">IF($C6-I$1&lt;År1,0,H5*(1-VLOOKUP($A6,[1]Hugst!$R$5:$W$9,MATCH(ROUNDUP((I$1)/10,0)*10,[1]Hugst!$R$4:$W$4,0))))</f>
        <v>3813.9274765561777</v>
      </c>
      <c r="J6" s="168">
        <f ca="1">IF($C6-J$1&lt;År1,0,I5*(1-VLOOKUP($A6,[1]Hugst!$R$5:$W$9,MATCH(ROUNDUP((J$1)/10,0)*10,[1]Hugst!$R$4:$W$4,0))))</f>
        <v>3824.804089596807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*VLOOKUP(A7,Skovbrug!$A$13:$D$17,IF('Skovbrug-alder'!C7&lt;=År2,3,4),FALSE)-IF(C7&gt;2020,SUM(INDEX($C$1:$D$311,MATCH(1,(2020=$C$1:$C$311)*(B7=$B$1:$B$311)*(A7=$A$1:$A$311),0),2):D6),0))</f>
        <v>2121.4806612022803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3770.9621426837612</v>
      </c>
      <c r="G7" s="168">
        <f ca="1">IF($C7-G$1&lt;År1,0,F6*(1-VLOOKUP($A7,[1]Hugst!$R$5:$W$9,MATCH(ROUNDUP((G$1)/10,0)*10,[1]Hugst!$R$4:$W$4,0))))</f>
        <v>3781.6228495239839</v>
      </c>
      <c r="H7" s="168">
        <f ca="1">IF($C7-H$1&lt;År1,0,G6*(1-VLOOKUP($A7,[1]Hugst!$R$5:$W$9,MATCH(ROUNDUP((H$1)/10,0)*10,[1]Hugst!$R$4:$W$4,0))))</f>
        <v>3792.3371277553588</v>
      </c>
      <c r="I7" s="168">
        <f ca="1">IF($C7-I$1&lt;År1,0,H6*(1-VLOOKUP($A7,[1]Hugst!$R$5:$W$9,MATCH(ROUNDUP((I$1)/10,0)*10,[1]Hugst!$R$4:$W$4,0))))</f>
        <v>3803.1052465808671</v>
      </c>
      <c r="J7" s="168">
        <f ca="1">IF($C7-J$1&lt;År1,0,I6*(1-VLOOKUP($A7,[1]Hugst!$R$5:$W$9,MATCH(ROUNDUP((J$1)/10,0)*10,[1]Hugst!$R$4:$W$4,0))))</f>
        <v>3813.9274765561777</v>
      </c>
      <c r="K7" s="168">
        <f ca="1">IF($C7-K$1&lt;År1,0,J6*(1-VLOOKUP($A7,[1]Hugst!$R$5:$W$9,MATCH(ROUNDUP((K$1)/10,0)*10,[1]Hugst!$R$4:$W$4,0))))</f>
        <v>3824.804089596807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*VLOOKUP(A8,Skovbrug!$A$13:$D$17,IF('Skovbrug-alder'!C8&lt;=År2,3,4),FALSE)-IF(C8&gt;2020,SUM(INDEX($C$1:$D$311,MATCH(1,(2020=$C$1:$C$311)*(B8=$B$1:$B$311)*(A8=$A$1:$A$311),0),2):D7),0))</f>
        <v>2110.8732578962808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3760.3547393777617</v>
      </c>
      <c r="G8" s="168">
        <f ca="1">IF($C8-G$1&lt;År1,0,F7*(1-VLOOKUP($A8,[1]Hugst!$R$5:$W$9,MATCH(ROUNDUP((G$1)/10,0)*10,[1]Hugst!$R$4:$W$4,0))))</f>
        <v>3770.9621426837612</v>
      </c>
      <c r="H8" s="168">
        <f ca="1">IF($C8-H$1&lt;År1,0,G7*(1-VLOOKUP($A8,[1]Hugst!$R$5:$W$9,MATCH(ROUNDUP((H$1)/10,0)*10,[1]Hugst!$R$4:$W$4,0))))</f>
        <v>3781.6228495239839</v>
      </c>
      <c r="I8" s="168">
        <f ca="1">IF($C8-I$1&lt;År1,0,H7*(1-VLOOKUP($A8,[1]Hugst!$R$5:$W$9,MATCH(ROUNDUP((I$1)/10,0)*10,[1]Hugst!$R$4:$W$4,0))))</f>
        <v>3792.3371277553588</v>
      </c>
      <c r="J8" s="168">
        <f ca="1">IF($C8-J$1&lt;År1,0,I7*(1-VLOOKUP($A8,[1]Hugst!$R$5:$W$9,MATCH(ROUNDUP((J$1)/10,0)*10,[1]Hugst!$R$4:$W$4,0))))</f>
        <v>3803.1052465808671</v>
      </c>
      <c r="K8" s="168">
        <f ca="1">IF($C8-K$1&lt;År1,0,J7*(1-VLOOKUP($A8,[1]Hugst!$R$5:$W$9,MATCH(ROUNDUP((K$1)/10,0)*10,[1]Hugst!$R$4:$W$4,0))))</f>
        <v>3813.9274765561777</v>
      </c>
      <c r="L8" s="168">
        <f ca="1">IF($C8-L$1&lt;År1,0,K7*(1-VLOOKUP($A8,[1]Hugst!$R$5:$W$9,MATCH(ROUNDUP((L$1)/10,0)*10,[1]Hugst!$R$4:$W$4,0))))</f>
        <v>3824.804089596807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*VLOOKUP(A9,Skovbrug!$A$13:$D$17,IF('Skovbrug-alder'!C9&lt;=År2,3,4),FALSE)-IF(C9&gt;2020,SUM(INDEX($C$1:$D$311,MATCH(1,(2020=$C$1:$C$311)*(B9=$B$1:$B$311)*(A9=$A$1:$A$311),0),2):D8),0))</f>
        <v>2100.3188916068175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3749.8003730882983</v>
      </c>
      <c r="G9" s="168">
        <f ca="1">IF($C9-G$1&lt;År1,0,F8*(1-VLOOKUP($A9,[1]Hugst!$R$5:$W$9,MATCH(ROUNDUP((G$1)/10,0)*10,[1]Hugst!$R$4:$W$4,0))))</f>
        <v>3760.3547393777617</v>
      </c>
      <c r="H9" s="168">
        <f ca="1">IF($C9-H$1&lt;År1,0,G8*(1-VLOOKUP($A9,[1]Hugst!$R$5:$W$9,MATCH(ROUNDUP((H$1)/10,0)*10,[1]Hugst!$R$4:$W$4,0))))</f>
        <v>3770.9621426837612</v>
      </c>
      <c r="I9" s="168">
        <f ca="1">IF($C9-I$1&lt;År1,0,H8*(1-VLOOKUP($A9,[1]Hugst!$R$5:$W$9,MATCH(ROUNDUP((I$1)/10,0)*10,[1]Hugst!$R$4:$W$4,0))))</f>
        <v>3781.6228495239839</v>
      </c>
      <c r="J9" s="168">
        <f ca="1">IF($C9-J$1&lt;År1,0,I8*(1-VLOOKUP($A9,[1]Hugst!$R$5:$W$9,MATCH(ROUNDUP((J$1)/10,0)*10,[1]Hugst!$R$4:$W$4,0))))</f>
        <v>3792.3371277553588</v>
      </c>
      <c r="K9" s="168">
        <f ca="1">IF($C9-K$1&lt;År1,0,J8*(1-VLOOKUP($A9,[1]Hugst!$R$5:$W$9,MATCH(ROUNDUP((K$1)/10,0)*10,[1]Hugst!$R$4:$W$4,0))))</f>
        <v>3803.1052465808671</v>
      </c>
      <c r="L9" s="168">
        <f ca="1">IF($C9-L$1&lt;År1,0,K8*(1-VLOOKUP($A9,[1]Hugst!$R$5:$W$9,MATCH(ROUNDUP((L$1)/10,0)*10,[1]Hugst!$R$4:$W$4,0))))</f>
        <v>3813.9274765561777</v>
      </c>
      <c r="M9" s="168">
        <f ca="1">IF($C9-M$1&lt;År1,0,L8*(1-VLOOKUP($A9,[1]Hugst!$R$5:$W$9,MATCH(ROUNDUP((M$1)/10,0)*10,[1]Hugst!$R$4:$W$4,0))))</f>
        <v>3824.804089596807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*VLOOKUP(A10,Skovbrug!$A$13:$D$17,IF('Skovbrug-alder'!C10&lt;=År2,3,4),FALSE)-IF(C10&gt;2020,SUM(INDEX($C$1:$D$311,MATCH(1,(2020=$C$1:$C$311)*(B10=$B$1:$B$311)*(A10=$A$1:$A$311),0),2):D9),0))</f>
        <v>2089.8172971488093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3739.2987786302901</v>
      </c>
      <c r="G10" s="168">
        <f ca="1">IF($C10-G$1&lt;År1,0,F9*(1-VLOOKUP($A10,[1]Hugst!$R$5:$W$9,MATCH(ROUNDUP((G$1)/10,0)*10,[1]Hugst!$R$4:$W$4,0))))</f>
        <v>3749.8003730882983</v>
      </c>
      <c r="H10" s="168">
        <f ca="1">IF($C10-H$1&lt;År1,0,G9*(1-VLOOKUP($A10,[1]Hugst!$R$5:$W$9,MATCH(ROUNDUP((H$1)/10,0)*10,[1]Hugst!$R$4:$W$4,0))))</f>
        <v>3760.3547393777617</v>
      </c>
      <c r="I10" s="168">
        <f ca="1">IF($C10-I$1&lt;År1,0,H9*(1-VLOOKUP($A10,[1]Hugst!$R$5:$W$9,MATCH(ROUNDUP((I$1)/10,0)*10,[1]Hugst!$R$4:$W$4,0))))</f>
        <v>3770.9621426837612</v>
      </c>
      <c r="J10" s="168">
        <f ca="1">IF($C10-J$1&lt;År1,0,I9*(1-VLOOKUP($A10,[1]Hugst!$R$5:$W$9,MATCH(ROUNDUP((J$1)/10,0)*10,[1]Hugst!$R$4:$W$4,0))))</f>
        <v>3781.6228495239839</v>
      </c>
      <c r="K10" s="168">
        <f ca="1">IF($C10-K$1&lt;År1,0,J9*(1-VLOOKUP($A10,[1]Hugst!$R$5:$W$9,MATCH(ROUNDUP((K$1)/10,0)*10,[1]Hugst!$R$4:$W$4,0))))</f>
        <v>3792.3371277553588</v>
      </c>
      <c r="L10" s="168">
        <f ca="1">IF($C10-L$1&lt;År1,0,K9*(1-VLOOKUP($A10,[1]Hugst!$R$5:$W$9,MATCH(ROUNDUP((L$1)/10,0)*10,[1]Hugst!$R$4:$W$4,0))))</f>
        <v>3803.1052465808671</v>
      </c>
      <c r="M10" s="168">
        <f ca="1">IF($C10-M$1&lt;År1,0,L9*(1-VLOOKUP($A10,[1]Hugst!$R$5:$W$9,MATCH(ROUNDUP((M$1)/10,0)*10,[1]Hugst!$R$4:$W$4,0))))</f>
        <v>3813.9274765561777</v>
      </c>
      <c r="N10" s="168">
        <f ca="1">IF($C10-N$1&lt;År1,0,M9*(1-VLOOKUP($A10,[1]Hugst!$R$5:$W$9,MATCH(ROUNDUP((N$1)/10,0)*10,[1]Hugst!$R$4:$W$4,0))))</f>
        <v>3824.804089596807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*VLOOKUP(A11,Skovbrug!$A$13:$D$17,IF('Skovbrug-alder'!C11&lt;=År2,3,4),FALSE)-IF(C11&gt;2020,SUM(INDEX($C$1:$D$311,MATCH(1,(2020=$C$1:$C$311)*(B11=$B$1:$B$311)*(A11=$A$1:$A$311),0),2):D10),0))</f>
        <v>2079.3682106629713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3728.8496921444521</v>
      </c>
      <c r="G11" s="168">
        <f ca="1">IF($C11-G$1&lt;År1,0,F10*(1-VLOOKUP($A11,[1]Hugst!$R$5:$W$9,MATCH(ROUNDUP((G$1)/10,0)*10,[1]Hugst!$R$4:$W$4,0))))</f>
        <v>3739.2987786302901</v>
      </c>
      <c r="H11" s="168">
        <f ca="1">IF($C11-H$1&lt;År1,0,G10*(1-VLOOKUP($A11,[1]Hugst!$R$5:$W$9,MATCH(ROUNDUP((H$1)/10,0)*10,[1]Hugst!$R$4:$W$4,0))))</f>
        <v>3749.8003730882983</v>
      </c>
      <c r="I11" s="168">
        <f ca="1">IF($C11-I$1&lt;År1,0,H10*(1-VLOOKUP($A11,[1]Hugst!$R$5:$W$9,MATCH(ROUNDUP((I$1)/10,0)*10,[1]Hugst!$R$4:$W$4,0))))</f>
        <v>3760.3547393777617</v>
      </c>
      <c r="J11" s="168">
        <f ca="1">IF($C11-J$1&lt;År1,0,I10*(1-VLOOKUP($A11,[1]Hugst!$R$5:$W$9,MATCH(ROUNDUP((J$1)/10,0)*10,[1]Hugst!$R$4:$W$4,0))))</f>
        <v>3770.9621426837612</v>
      </c>
      <c r="K11" s="168">
        <f ca="1">IF($C11-K$1&lt;År1,0,J10*(1-VLOOKUP($A11,[1]Hugst!$R$5:$W$9,MATCH(ROUNDUP((K$1)/10,0)*10,[1]Hugst!$R$4:$W$4,0))))</f>
        <v>3781.6228495239839</v>
      </c>
      <c r="L11" s="168">
        <f ca="1">IF($C11-L$1&lt;År1,0,K10*(1-VLOOKUP($A11,[1]Hugst!$R$5:$W$9,MATCH(ROUNDUP((L$1)/10,0)*10,[1]Hugst!$R$4:$W$4,0))))</f>
        <v>3792.3371277553588</v>
      </c>
      <c r="M11" s="168">
        <f ca="1">IF($C11-M$1&lt;År1,0,L10*(1-VLOOKUP($A11,[1]Hugst!$R$5:$W$9,MATCH(ROUNDUP((M$1)/10,0)*10,[1]Hugst!$R$4:$W$4,0))))</f>
        <v>3803.1052465808671</v>
      </c>
      <c r="N11" s="168">
        <f ca="1">IF($C11-N$1&lt;År1,0,M10*(1-VLOOKUP($A11,[1]Hugst!$R$5:$W$9,MATCH(ROUNDUP((N$1)/10,0)*10,[1]Hugst!$R$4:$W$4,0))))</f>
        <v>3813.9274765561777</v>
      </c>
      <c r="O11" s="168">
        <f ca="1">IF($C11-O$1&lt;År1,0,N10*(1-VLOOKUP($A11,[1]Hugst!$R$5:$W$9,MATCH(ROUNDUP((O$1)/10,0)*10,[1]Hugst!$R$4:$W$4,0))))</f>
        <v>3824.804089596807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*VLOOKUP(A12,Skovbrug!$A$13:$D$17,IF('Skovbrug-alder'!C12&lt;=År2,3,4),FALSE)-IF(C12&gt;2020,SUM(INDEX($C$1:$D$311,MATCH(1,(2020=$C$1:$C$311)*(B12=$B$1:$B$311)*(A12=$A$1:$A$311),0),2):D11),0))</f>
        <v>2068.9713696097606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3718.4528510912414</v>
      </c>
      <c r="G12" s="168">
        <f ca="1">IF($C12-G$1&lt;År1,0,F11*(1-VLOOKUP($A12,[1]Hugst!$R$5:$W$9,MATCH(ROUNDUP((G$1)/10,0)*10,[1]Hugst!$R$4:$W$4,0))))</f>
        <v>3728.8496921444521</v>
      </c>
      <c r="H12" s="168">
        <f ca="1">IF($C12-H$1&lt;År1,0,G11*(1-VLOOKUP($A12,[1]Hugst!$R$5:$W$9,MATCH(ROUNDUP((H$1)/10,0)*10,[1]Hugst!$R$4:$W$4,0))))</f>
        <v>3739.2987786302901</v>
      </c>
      <c r="I12" s="168">
        <f ca="1">IF($C12-I$1&lt;År1,0,H11*(1-VLOOKUP($A12,[1]Hugst!$R$5:$W$9,MATCH(ROUNDUP((I$1)/10,0)*10,[1]Hugst!$R$4:$W$4,0))))</f>
        <v>3749.8003730882983</v>
      </c>
      <c r="J12" s="168">
        <f ca="1">IF($C12-J$1&lt;År1,0,I11*(1-VLOOKUP($A12,[1]Hugst!$R$5:$W$9,MATCH(ROUNDUP((J$1)/10,0)*10,[1]Hugst!$R$4:$W$4,0))))</f>
        <v>3760.3547393777617</v>
      </c>
      <c r="K12" s="168">
        <f ca="1">IF($C12-K$1&lt;År1,0,J11*(1-VLOOKUP($A12,[1]Hugst!$R$5:$W$9,MATCH(ROUNDUP((K$1)/10,0)*10,[1]Hugst!$R$4:$W$4,0))))</f>
        <v>3770.9621426837612</v>
      </c>
      <c r="L12" s="168">
        <f ca="1">IF($C12-L$1&lt;År1,0,K11*(1-VLOOKUP($A12,[1]Hugst!$R$5:$W$9,MATCH(ROUNDUP((L$1)/10,0)*10,[1]Hugst!$R$4:$W$4,0))))</f>
        <v>3781.6228495239839</v>
      </c>
      <c r="M12" s="168">
        <f ca="1">IF($C12-M$1&lt;År1,0,L11*(1-VLOOKUP($A12,[1]Hugst!$R$5:$W$9,MATCH(ROUNDUP((M$1)/10,0)*10,[1]Hugst!$R$4:$W$4,0))))</f>
        <v>3792.3371277553588</v>
      </c>
      <c r="N12" s="168">
        <f ca="1">IF($C12-N$1&lt;År1,0,M11*(1-VLOOKUP($A12,[1]Hugst!$R$5:$W$9,MATCH(ROUNDUP((N$1)/10,0)*10,[1]Hugst!$R$4:$W$4,0))))</f>
        <v>3803.1052465808671</v>
      </c>
      <c r="O12" s="168">
        <f ca="1">IF($C12-O$1&lt;År1,0,N11*(1-VLOOKUP($A12,[1]Hugst!$R$5:$W$9,MATCH(ROUNDUP((O$1)/10,0)*10,[1]Hugst!$R$4:$W$4,0))))</f>
        <v>3813.9274765561777</v>
      </c>
      <c r="P12" s="168">
        <f ca="1">IF($C12-P$1&lt;År1,0,O11*(1-VLOOKUP($A12,[1]Hugst!$R$5:$W$9,MATCH(ROUNDUP((P$1)/10,0)*10,[1]Hugst!$R$4:$W$4,0))))</f>
        <v>3824.804089596807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*VLOOKUP(A13,Skovbrug!$A$13:$D$17,IF('Skovbrug-alder'!C13&lt;=År2,3,4),FALSE)-IF(C13&gt;2020,SUM(INDEX($C$1:$D$311,MATCH(1,(2020=$C$1:$C$311)*(B13=$B$1:$B$311)*(A13=$A$1:$A$311),0),2):D12),0))</f>
        <v>2058.626512761577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3708.1079942430574</v>
      </c>
      <c r="G13" s="168">
        <f ca="1">IF($C13-G$1&lt;År1,0,F12*(1-VLOOKUP($A13,[1]Hugst!$R$5:$W$9,MATCH(ROUNDUP((G$1)/10,0)*10,[1]Hugst!$R$4:$W$4,0))))</f>
        <v>3718.4528510912414</v>
      </c>
      <c r="H13" s="168">
        <f ca="1">IF($C13-H$1&lt;År1,0,G12*(1-VLOOKUP($A13,[1]Hugst!$R$5:$W$9,MATCH(ROUNDUP((H$1)/10,0)*10,[1]Hugst!$R$4:$W$4,0))))</f>
        <v>3728.8496921444521</v>
      </c>
      <c r="I13" s="168">
        <f ca="1">IF($C13-I$1&lt;År1,0,H12*(1-VLOOKUP($A13,[1]Hugst!$R$5:$W$9,MATCH(ROUNDUP((I$1)/10,0)*10,[1]Hugst!$R$4:$W$4,0))))</f>
        <v>3739.2987786302901</v>
      </c>
      <c r="J13" s="168">
        <f ca="1">IF($C13-J$1&lt;År1,0,I12*(1-VLOOKUP($A13,[1]Hugst!$R$5:$W$9,MATCH(ROUNDUP((J$1)/10,0)*10,[1]Hugst!$R$4:$W$4,0))))</f>
        <v>3749.8003730882983</v>
      </c>
      <c r="K13" s="168">
        <f ca="1">IF($C13-K$1&lt;År1,0,J12*(1-VLOOKUP($A13,[1]Hugst!$R$5:$W$9,MATCH(ROUNDUP((K$1)/10,0)*10,[1]Hugst!$R$4:$W$4,0))))</f>
        <v>3760.3547393777617</v>
      </c>
      <c r="L13" s="168">
        <f ca="1">IF($C13-L$1&lt;År1,0,K12*(1-VLOOKUP($A13,[1]Hugst!$R$5:$W$9,MATCH(ROUNDUP((L$1)/10,0)*10,[1]Hugst!$R$4:$W$4,0))))</f>
        <v>3770.9621426837612</v>
      </c>
      <c r="M13" s="168">
        <f ca="1">IF($C13-M$1&lt;År1,0,L12*(1-VLOOKUP($A13,[1]Hugst!$R$5:$W$9,MATCH(ROUNDUP((M$1)/10,0)*10,[1]Hugst!$R$4:$W$4,0))))</f>
        <v>3781.6228495239839</v>
      </c>
      <c r="N13" s="168">
        <f ca="1">IF($C13-N$1&lt;År1,0,M12*(1-VLOOKUP($A13,[1]Hugst!$R$5:$W$9,MATCH(ROUNDUP((N$1)/10,0)*10,[1]Hugst!$R$4:$W$4,0))))</f>
        <v>3792.3371277553588</v>
      </c>
      <c r="O13" s="168">
        <f ca="1">IF($C13-O$1&lt;År1,0,N12*(1-VLOOKUP($A13,[1]Hugst!$R$5:$W$9,MATCH(ROUNDUP((O$1)/10,0)*10,[1]Hugst!$R$4:$W$4,0))))</f>
        <v>3803.1052465808671</v>
      </c>
      <c r="P13" s="168">
        <f ca="1">IF($C13-P$1&lt;År1,0,O12*(1-VLOOKUP($A13,[1]Hugst!$R$5:$W$9,MATCH(ROUNDUP((P$1)/10,0)*10,[1]Hugst!$R$4:$W$4,0))))</f>
        <v>3813.9274765561777</v>
      </c>
      <c r="Q13" s="168">
        <f ca="1">IF($C13-Q$1&lt;År1,0,P12*(1-VLOOKUP($A13,[1]Hugst!$R$5:$W$9,MATCH(ROUNDUP((Q$1)/10,0)*10,[1]Hugst!$R$4:$W$4,0))))</f>
        <v>3824.804089596807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*VLOOKUP(A14,Skovbrug!$A$13:$D$17,IF('Skovbrug-alder'!C14&lt;=År2,3,4),FALSE)-IF(C14&gt;2020,SUM(INDEX($C$1:$D$311,MATCH(1,(2020=$C$1:$C$311)*(B14=$B$1:$B$311)*(A14=$A$1:$A$311),0),2):D13),0))</f>
        <v>2048.3333801978733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3697.8148616793537</v>
      </c>
      <c r="G14" s="168">
        <f ca="1">IF($C14-G$1&lt;År1,0,F13*(1-VLOOKUP($A14,[1]Hugst!$R$5:$W$9,MATCH(ROUNDUP((G$1)/10,0)*10,[1]Hugst!$R$4:$W$4,0))))</f>
        <v>3708.1079942430574</v>
      </c>
      <c r="H14" s="168">
        <f ca="1">IF($C14-H$1&lt;År1,0,G13*(1-VLOOKUP($A14,[1]Hugst!$R$5:$W$9,MATCH(ROUNDUP((H$1)/10,0)*10,[1]Hugst!$R$4:$W$4,0))))</f>
        <v>3718.4528510912414</v>
      </c>
      <c r="I14" s="168">
        <f ca="1">IF($C14-I$1&lt;År1,0,H13*(1-VLOOKUP($A14,[1]Hugst!$R$5:$W$9,MATCH(ROUNDUP((I$1)/10,0)*10,[1]Hugst!$R$4:$W$4,0))))</f>
        <v>3728.8496921444521</v>
      </c>
      <c r="J14" s="168">
        <f ca="1">IF($C14-J$1&lt;År1,0,I13*(1-VLOOKUP($A14,[1]Hugst!$R$5:$W$9,MATCH(ROUNDUP((J$1)/10,0)*10,[1]Hugst!$R$4:$W$4,0))))</f>
        <v>3739.2987786302901</v>
      </c>
      <c r="K14" s="168">
        <f ca="1">IF($C14-K$1&lt;År1,0,J13*(1-VLOOKUP($A14,[1]Hugst!$R$5:$W$9,MATCH(ROUNDUP((K$1)/10,0)*10,[1]Hugst!$R$4:$W$4,0))))</f>
        <v>3749.8003730882983</v>
      </c>
      <c r="L14" s="168">
        <f ca="1">IF($C14-L$1&lt;År1,0,K13*(1-VLOOKUP($A14,[1]Hugst!$R$5:$W$9,MATCH(ROUNDUP((L$1)/10,0)*10,[1]Hugst!$R$4:$W$4,0))))</f>
        <v>3760.3547393777617</v>
      </c>
      <c r="M14" s="168">
        <f ca="1">IF($C14-M$1&lt;År1,0,L13*(1-VLOOKUP($A14,[1]Hugst!$R$5:$W$9,MATCH(ROUNDUP((M$1)/10,0)*10,[1]Hugst!$R$4:$W$4,0))))</f>
        <v>3770.9621426837612</v>
      </c>
      <c r="N14" s="168">
        <f ca="1">IF($C14-N$1&lt;År1,0,M13*(1-VLOOKUP($A14,[1]Hugst!$R$5:$W$9,MATCH(ROUNDUP((N$1)/10,0)*10,[1]Hugst!$R$4:$W$4,0))))</f>
        <v>3781.6228495239839</v>
      </c>
      <c r="O14" s="168">
        <f ca="1">IF($C14-O$1&lt;År1,0,N13*(1-VLOOKUP($A14,[1]Hugst!$R$5:$W$9,MATCH(ROUNDUP((O$1)/10,0)*10,[1]Hugst!$R$4:$W$4,0))))</f>
        <v>3792.3371277553588</v>
      </c>
      <c r="P14" s="168">
        <f ca="1">IF($C14-P$1&lt;År1,0,O13*(1-VLOOKUP($A14,[1]Hugst!$R$5:$W$9,MATCH(ROUNDUP((P$1)/10,0)*10,[1]Hugst!$R$4:$W$4,0))))</f>
        <v>3803.1052465808671</v>
      </c>
      <c r="Q14" s="168">
        <f ca="1">IF($C14-Q$1&lt;År1,0,P13*(1-VLOOKUP($A14,[1]Hugst!$R$5:$W$9,MATCH(ROUNDUP((Q$1)/10,0)*10,[1]Hugst!$R$4:$W$4,0))))</f>
        <v>3813.9274765561777</v>
      </c>
      <c r="R14" s="168">
        <f ca="1">IF($C14-R$1&lt;År1,0,Q13*(1-VLOOKUP($A14,[1]Hugst!$R$5:$W$9,MATCH(ROUNDUP((R$1)/10,0)*10,[1]Hugst!$R$4:$W$4,0))))</f>
        <v>3824.804089596807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*VLOOKUP(A15,Skovbrug!$A$13:$D$17,IF('Skovbrug-alder'!C15&lt;=År2,3,4),FALSE)-IF(C15&gt;2020,SUM(INDEX($C$1:$D$311,MATCH(1,(2020=$C$1:$C$311)*(B15=$B$1:$B$311)*(A15=$A$1:$A$311),0),2):D14),0))</f>
        <v>2038.0917132968316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3687.573194778312</v>
      </c>
      <c r="G15" s="168">
        <f ca="1">IF($C15-G$1&lt;År1,0,F14*(1-VLOOKUP($A15,[1]Hugst!$R$5:$W$9,MATCH(ROUNDUP((G$1)/10,0)*10,[1]Hugst!$R$4:$W$4,0))))</f>
        <v>3697.8148616793537</v>
      </c>
      <c r="H15" s="168">
        <f ca="1">IF($C15-H$1&lt;År1,0,G14*(1-VLOOKUP($A15,[1]Hugst!$R$5:$W$9,MATCH(ROUNDUP((H$1)/10,0)*10,[1]Hugst!$R$4:$W$4,0))))</f>
        <v>3708.1079942430574</v>
      </c>
      <c r="I15" s="168">
        <f ca="1">IF($C15-I$1&lt;År1,0,H14*(1-VLOOKUP($A15,[1]Hugst!$R$5:$W$9,MATCH(ROUNDUP((I$1)/10,0)*10,[1]Hugst!$R$4:$W$4,0))))</f>
        <v>3718.4528510912414</v>
      </c>
      <c r="J15" s="168">
        <f ca="1">IF($C15-J$1&lt;År1,0,I14*(1-VLOOKUP($A15,[1]Hugst!$R$5:$W$9,MATCH(ROUNDUP((J$1)/10,0)*10,[1]Hugst!$R$4:$W$4,0))))</f>
        <v>3728.8496921444521</v>
      </c>
      <c r="K15" s="168">
        <f ca="1">IF($C15-K$1&lt;År1,0,J14*(1-VLOOKUP($A15,[1]Hugst!$R$5:$W$9,MATCH(ROUNDUP((K$1)/10,0)*10,[1]Hugst!$R$4:$W$4,0))))</f>
        <v>3739.2987786302901</v>
      </c>
      <c r="L15" s="168">
        <f ca="1">IF($C15-L$1&lt;År1,0,K14*(1-VLOOKUP($A15,[1]Hugst!$R$5:$W$9,MATCH(ROUNDUP((L$1)/10,0)*10,[1]Hugst!$R$4:$W$4,0))))</f>
        <v>3749.8003730882983</v>
      </c>
      <c r="M15" s="168">
        <f ca="1">IF($C15-M$1&lt;År1,0,L14*(1-VLOOKUP($A15,[1]Hugst!$R$5:$W$9,MATCH(ROUNDUP((M$1)/10,0)*10,[1]Hugst!$R$4:$W$4,0))))</f>
        <v>3760.3547393777617</v>
      </c>
      <c r="N15" s="168">
        <f ca="1">IF($C15-N$1&lt;År1,0,M14*(1-VLOOKUP($A15,[1]Hugst!$R$5:$W$9,MATCH(ROUNDUP((N$1)/10,0)*10,[1]Hugst!$R$4:$W$4,0))))</f>
        <v>3770.9621426837612</v>
      </c>
      <c r="O15" s="168">
        <f ca="1">IF($C15-O$1&lt;År1,0,N14*(1-VLOOKUP($A15,[1]Hugst!$R$5:$W$9,MATCH(ROUNDUP((O$1)/10,0)*10,[1]Hugst!$R$4:$W$4,0))))</f>
        <v>3781.6228495239839</v>
      </c>
      <c r="P15" s="168">
        <f ca="1">IF($C15-P$1&lt;År1,0,O14*(1-VLOOKUP($A15,[1]Hugst!$R$5:$W$9,MATCH(ROUNDUP((P$1)/10,0)*10,[1]Hugst!$R$4:$W$4,0))))</f>
        <v>3792.3371277553588</v>
      </c>
      <c r="Q15" s="168">
        <f ca="1">IF($C15-Q$1&lt;År1,0,P14*(1-VLOOKUP($A15,[1]Hugst!$R$5:$W$9,MATCH(ROUNDUP((Q$1)/10,0)*10,[1]Hugst!$R$4:$W$4,0))))</f>
        <v>3803.1052465808671</v>
      </c>
      <c r="R15" s="168">
        <f ca="1">IF($C15-R$1&lt;År1,0,Q14*(1-VLOOKUP($A15,[1]Hugst!$R$5:$W$9,MATCH(ROUNDUP((R$1)/10,0)*10,[1]Hugst!$R$4:$W$4,0))))</f>
        <v>3813.9274765561777</v>
      </c>
      <c r="S15" s="168">
        <f ca="1">IF($C15-S$1&lt;År1,0,R14*(1-VLOOKUP($A15,[1]Hugst!$R$5:$W$9,MATCH(ROUNDUP((S$1)/10,0)*10,[1]Hugst!$R$4:$W$4,0))))</f>
        <v>3824.804089596807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*VLOOKUP(A16,Skovbrug!$A$13:$D$17,IF('Skovbrug-alder'!C16&lt;=År2,3,4),FALSE)-IF(C16&gt;2020,SUM(INDEX($C$1:$D$311,MATCH(1,(2020=$C$1:$C$311)*(B16=$B$1:$B$311)*(A16=$A$1:$A$311),0),2):D15),0))</f>
        <v>2027.9012547303573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3677.3827362118377</v>
      </c>
      <c r="G16" s="168">
        <f ca="1">IF($C16-G$1&lt;År1,0,F15*(1-VLOOKUP($A16,[1]Hugst!$R$5:$W$9,MATCH(ROUNDUP((G$1)/10,0)*10,[1]Hugst!$R$4:$W$4,0))))</f>
        <v>3687.573194778312</v>
      </c>
      <c r="H16" s="168">
        <f ca="1">IF($C16-H$1&lt;År1,0,G15*(1-VLOOKUP($A16,[1]Hugst!$R$5:$W$9,MATCH(ROUNDUP((H$1)/10,0)*10,[1]Hugst!$R$4:$W$4,0))))</f>
        <v>3697.8148616793537</v>
      </c>
      <c r="I16" s="168">
        <f ca="1">IF($C16-I$1&lt;År1,0,H15*(1-VLOOKUP($A16,[1]Hugst!$R$5:$W$9,MATCH(ROUNDUP((I$1)/10,0)*10,[1]Hugst!$R$4:$W$4,0))))</f>
        <v>3708.1079942430574</v>
      </c>
      <c r="J16" s="168">
        <f ca="1">IF($C16-J$1&lt;År1,0,I15*(1-VLOOKUP($A16,[1]Hugst!$R$5:$W$9,MATCH(ROUNDUP((J$1)/10,0)*10,[1]Hugst!$R$4:$W$4,0))))</f>
        <v>3718.4528510912414</v>
      </c>
      <c r="K16" s="168">
        <f ca="1">IF($C16-K$1&lt;År1,0,J15*(1-VLOOKUP($A16,[1]Hugst!$R$5:$W$9,MATCH(ROUNDUP((K$1)/10,0)*10,[1]Hugst!$R$4:$W$4,0))))</f>
        <v>3728.8496921444521</v>
      </c>
      <c r="L16" s="168">
        <f ca="1">IF($C16-L$1&lt;År1,0,K15*(1-VLOOKUP($A16,[1]Hugst!$R$5:$W$9,MATCH(ROUNDUP((L$1)/10,0)*10,[1]Hugst!$R$4:$W$4,0))))</f>
        <v>3739.2987786302901</v>
      </c>
      <c r="M16" s="168">
        <f ca="1">IF($C16-M$1&lt;År1,0,L15*(1-VLOOKUP($A16,[1]Hugst!$R$5:$W$9,MATCH(ROUNDUP((M$1)/10,0)*10,[1]Hugst!$R$4:$W$4,0))))</f>
        <v>3749.8003730882983</v>
      </c>
      <c r="N16" s="168">
        <f ca="1">IF($C16-N$1&lt;År1,0,M15*(1-VLOOKUP($A16,[1]Hugst!$R$5:$W$9,MATCH(ROUNDUP((N$1)/10,0)*10,[1]Hugst!$R$4:$W$4,0))))</f>
        <v>3760.3547393777617</v>
      </c>
      <c r="O16" s="168">
        <f ca="1">IF($C16-O$1&lt;År1,0,N15*(1-VLOOKUP($A16,[1]Hugst!$R$5:$W$9,MATCH(ROUNDUP((O$1)/10,0)*10,[1]Hugst!$R$4:$W$4,0))))</f>
        <v>3770.9621426837612</v>
      </c>
      <c r="P16" s="168">
        <f ca="1">IF($C16-P$1&lt;År1,0,O15*(1-VLOOKUP($A16,[1]Hugst!$R$5:$W$9,MATCH(ROUNDUP((P$1)/10,0)*10,[1]Hugst!$R$4:$W$4,0))))</f>
        <v>3781.6228495239839</v>
      </c>
      <c r="Q16" s="168">
        <f ca="1">IF($C16-Q$1&lt;År1,0,P15*(1-VLOOKUP($A16,[1]Hugst!$R$5:$W$9,MATCH(ROUNDUP((Q$1)/10,0)*10,[1]Hugst!$R$4:$W$4,0))))</f>
        <v>3792.3371277553588</v>
      </c>
      <c r="R16" s="168">
        <f ca="1">IF($C16-R$1&lt;År1,0,Q15*(1-VLOOKUP($A16,[1]Hugst!$R$5:$W$9,MATCH(ROUNDUP((R$1)/10,0)*10,[1]Hugst!$R$4:$W$4,0))))</f>
        <v>3803.1052465808671</v>
      </c>
      <c r="S16" s="168">
        <f ca="1">IF($C16-S$1&lt;År1,0,R15*(1-VLOOKUP($A16,[1]Hugst!$R$5:$W$9,MATCH(ROUNDUP((S$1)/10,0)*10,[1]Hugst!$R$4:$W$4,0))))</f>
        <v>3813.9274765561777</v>
      </c>
      <c r="T16" s="168">
        <f ca="1">IF($C16-T$1&lt;År1,0,S15*(1-VLOOKUP($A16,[1]Hugst!$R$5:$W$9,MATCH(ROUNDUP((T$1)/10,0)*10,[1]Hugst!$R$4:$W$4,0))))</f>
        <v>3824.804089596807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*VLOOKUP(A17,Skovbrug!$A$13:$D$17,IF('Skovbrug-alder'!C17&lt;=År2,3,4),FALSE)-IF(C17&gt;2020,SUM(INDEX($C$1:$D$311,MATCH(1,(2020=$C$1:$C$311)*(B17=$B$1:$B$311)*(A17=$A$1:$A$311),0),2):D16),0))</f>
        <v>2017.7617484567454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3667.2432299382258</v>
      </c>
      <c r="G17" s="168">
        <f ca="1">IF($C17-G$1&lt;År1,0,F16*(1-VLOOKUP($A17,[1]Hugst!$R$5:$W$9,MATCH(ROUNDUP((G$1)/10,0)*10,[1]Hugst!$R$4:$W$4,0))))</f>
        <v>3677.3827362118377</v>
      </c>
      <c r="H17" s="168">
        <f ca="1">IF($C17-H$1&lt;År1,0,G16*(1-VLOOKUP($A17,[1]Hugst!$R$5:$W$9,MATCH(ROUNDUP((H$1)/10,0)*10,[1]Hugst!$R$4:$W$4,0))))</f>
        <v>3687.573194778312</v>
      </c>
      <c r="I17" s="168">
        <f ca="1">IF($C17-I$1&lt;År1,0,H16*(1-VLOOKUP($A17,[1]Hugst!$R$5:$W$9,MATCH(ROUNDUP((I$1)/10,0)*10,[1]Hugst!$R$4:$W$4,0))))</f>
        <v>3697.8148616793537</v>
      </c>
      <c r="J17" s="168">
        <f ca="1">IF($C17-J$1&lt;År1,0,I16*(1-VLOOKUP($A17,[1]Hugst!$R$5:$W$9,MATCH(ROUNDUP((J$1)/10,0)*10,[1]Hugst!$R$4:$W$4,0))))</f>
        <v>3708.1079942430574</v>
      </c>
      <c r="K17" s="168">
        <f ca="1">IF($C17-K$1&lt;År1,0,J16*(1-VLOOKUP($A17,[1]Hugst!$R$5:$W$9,MATCH(ROUNDUP((K$1)/10,0)*10,[1]Hugst!$R$4:$W$4,0))))</f>
        <v>3718.4528510912414</v>
      </c>
      <c r="L17" s="168">
        <f ca="1">IF($C17-L$1&lt;År1,0,K16*(1-VLOOKUP($A17,[1]Hugst!$R$5:$W$9,MATCH(ROUNDUP((L$1)/10,0)*10,[1]Hugst!$R$4:$W$4,0))))</f>
        <v>3728.8496921444521</v>
      </c>
      <c r="M17" s="168">
        <f ca="1">IF($C17-M$1&lt;År1,0,L16*(1-VLOOKUP($A17,[1]Hugst!$R$5:$W$9,MATCH(ROUNDUP((M$1)/10,0)*10,[1]Hugst!$R$4:$W$4,0))))</f>
        <v>3739.2987786302901</v>
      </c>
      <c r="N17" s="168">
        <f ca="1">IF($C17-N$1&lt;År1,0,M16*(1-VLOOKUP($A17,[1]Hugst!$R$5:$W$9,MATCH(ROUNDUP((N$1)/10,0)*10,[1]Hugst!$R$4:$W$4,0))))</f>
        <v>3749.8003730882983</v>
      </c>
      <c r="O17" s="168">
        <f ca="1">IF($C17-O$1&lt;År1,0,N16*(1-VLOOKUP($A17,[1]Hugst!$R$5:$W$9,MATCH(ROUNDUP((O$1)/10,0)*10,[1]Hugst!$R$4:$W$4,0))))</f>
        <v>3760.3547393777617</v>
      </c>
      <c r="P17" s="168">
        <f ca="1">IF($C17-P$1&lt;År1,0,O16*(1-VLOOKUP($A17,[1]Hugst!$R$5:$W$9,MATCH(ROUNDUP((P$1)/10,0)*10,[1]Hugst!$R$4:$W$4,0))))</f>
        <v>3770.9621426837612</v>
      </c>
      <c r="Q17" s="168">
        <f ca="1">IF($C17-Q$1&lt;År1,0,P16*(1-VLOOKUP($A17,[1]Hugst!$R$5:$W$9,MATCH(ROUNDUP((Q$1)/10,0)*10,[1]Hugst!$R$4:$W$4,0))))</f>
        <v>3781.6228495239839</v>
      </c>
      <c r="R17" s="168">
        <f ca="1">IF($C17-R$1&lt;År1,0,Q16*(1-VLOOKUP($A17,[1]Hugst!$R$5:$W$9,MATCH(ROUNDUP((R$1)/10,0)*10,[1]Hugst!$R$4:$W$4,0))))</f>
        <v>3792.3371277553588</v>
      </c>
      <c r="S17" s="168">
        <f ca="1">IF($C17-S$1&lt;År1,0,R16*(1-VLOOKUP($A17,[1]Hugst!$R$5:$W$9,MATCH(ROUNDUP((S$1)/10,0)*10,[1]Hugst!$R$4:$W$4,0))))</f>
        <v>3803.1052465808671</v>
      </c>
      <c r="T17" s="168">
        <f ca="1">IF($C17-T$1&lt;År1,0,S16*(1-VLOOKUP($A17,[1]Hugst!$R$5:$W$9,MATCH(ROUNDUP((T$1)/10,0)*10,[1]Hugst!$R$4:$W$4,0))))</f>
        <v>3813.9274765561777</v>
      </c>
      <c r="U17" s="168">
        <f ca="1">IF($C17-U$1&lt;År1,0,T16*(1-VLOOKUP($A17,[1]Hugst!$R$5:$W$9,MATCH(ROUNDUP((U$1)/10,0)*10,[1]Hugst!$R$4:$W$4,0))))</f>
        <v>3824.804089596807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*VLOOKUP(A18,Skovbrug!$A$13:$D$17,IF('Skovbrug-alder'!C18&lt;=År2,3,4),FALSE)-IF(C18&gt;2020,SUM(INDEX($C$1:$D$311,MATCH(1,(2020=$C$1:$C$311)*(B18=$B$1:$B$311)*(A18=$A$1:$A$311),0),2):D17),0))</f>
        <v>2007.6729397144518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3657.1544211959322</v>
      </c>
      <c r="G18" s="168">
        <f ca="1">IF($C18-G$1&lt;År1,0,F17*(1-VLOOKUP($A18,[1]Hugst!$R$5:$W$9,MATCH(ROUNDUP((G$1)/10,0)*10,[1]Hugst!$R$4:$W$4,0))))</f>
        <v>3667.2432299382258</v>
      </c>
      <c r="H18" s="168">
        <f ca="1">IF($C18-H$1&lt;År1,0,G17*(1-VLOOKUP($A18,[1]Hugst!$R$5:$W$9,MATCH(ROUNDUP((H$1)/10,0)*10,[1]Hugst!$R$4:$W$4,0))))</f>
        <v>3677.3827362118377</v>
      </c>
      <c r="I18" s="168">
        <f ca="1">IF($C18-I$1&lt;År1,0,H17*(1-VLOOKUP($A18,[1]Hugst!$R$5:$W$9,MATCH(ROUNDUP((I$1)/10,0)*10,[1]Hugst!$R$4:$W$4,0))))</f>
        <v>3687.573194778312</v>
      </c>
      <c r="J18" s="168">
        <f ca="1">IF($C18-J$1&lt;År1,0,I17*(1-VLOOKUP($A18,[1]Hugst!$R$5:$W$9,MATCH(ROUNDUP((J$1)/10,0)*10,[1]Hugst!$R$4:$W$4,0))))</f>
        <v>3697.8148616793537</v>
      </c>
      <c r="K18" s="168">
        <f ca="1">IF($C18-K$1&lt;År1,0,J17*(1-VLOOKUP($A18,[1]Hugst!$R$5:$W$9,MATCH(ROUNDUP((K$1)/10,0)*10,[1]Hugst!$R$4:$W$4,0))))</f>
        <v>3708.1079942430574</v>
      </c>
      <c r="L18" s="168">
        <f ca="1">IF($C18-L$1&lt;År1,0,K17*(1-VLOOKUP($A18,[1]Hugst!$R$5:$W$9,MATCH(ROUNDUP((L$1)/10,0)*10,[1]Hugst!$R$4:$W$4,0))))</f>
        <v>3718.4528510912414</v>
      </c>
      <c r="M18" s="168">
        <f ca="1">IF($C18-M$1&lt;År1,0,L17*(1-VLOOKUP($A18,[1]Hugst!$R$5:$W$9,MATCH(ROUNDUP((M$1)/10,0)*10,[1]Hugst!$R$4:$W$4,0))))</f>
        <v>3728.8496921444521</v>
      </c>
      <c r="N18" s="168">
        <f ca="1">IF($C18-N$1&lt;År1,0,M17*(1-VLOOKUP($A18,[1]Hugst!$R$5:$W$9,MATCH(ROUNDUP((N$1)/10,0)*10,[1]Hugst!$R$4:$W$4,0))))</f>
        <v>3739.2987786302901</v>
      </c>
      <c r="O18" s="168">
        <f ca="1">IF($C18-O$1&lt;År1,0,N17*(1-VLOOKUP($A18,[1]Hugst!$R$5:$W$9,MATCH(ROUNDUP((O$1)/10,0)*10,[1]Hugst!$R$4:$W$4,0))))</f>
        <v>3749.8003730882983</v>
      </c>
      <c r="P18" s="168">
        <f ca="1">IF($C18-P$1&lt;År1,0,O17*(1-VLOOKUP($A18,[1]Hugst!$R$5:$W$9,MATCH(ROUNDUP((P$1)/10,0)*10,[1]Hugst!$R$4:$W$4,0))))</f>
        <v>3760.3547393777617</v>
      </c>
      <c r="Q18" s="168">
        <f ca="1">IF($C18-Q$1&lt;År1,0,P17*(1-VLOOKUP($A18,[1]Hugst!$R$5:$W$9,MATCH(ROUNDUP((Q$1)/10,0)*10,[1]Hugst!$R$4:$W$4,0))))</f>
        <v>3770.9621426837612</v>
      </c>
      <c r="R18" s="168">
        <f ca="1">IF($C18-R$1&lt;År1,0,Q17*(1-VLOOKUP($A18,[1]Hugst!$R$5:$W$9,MATCH(ROUNDUP((R$1)/10,0)*10,[1]Hugst!$R$4:$W$4,0))))</f>
        <v>3781.6228495239839</v>
      </c>
      <c r="S18" s="168">
        <f ca="1">IF($C18-S$1&lt;År1,0,R17*(1-VLOOKUP($A18,[1]Hugst!$R$5:$W$9,MATCH(ROUNDUP((S$1)/10,0)*10,[1]Hugst!$R$4:$W$4,0))))</f>
        <v>3792.3371277553588</v>
      </c>
      <c r="T18" s="168">
        <f ca="1">IF($C18-T$1&lt;År1,0,S17*(1-VLOOKUP($A18,[1]Hugst!$R$5:$W$9,MATCH(ROUNDUP((T$1)/10,0)*10,[1]Hugst!$R$4:$W$4,0))))</f>
        <v>3803.1052465808671</v>
      </c>
      <c r="U18" s="168">
        <f ca="1">IF($C18-U$1&lt;År1,0,T17*(1-VLOOKUP($A18,[1]Hugst!$R$5:$W$9,MATCH(ROUNDUP((U$1)/10,0)*10,[1]Hugst!$R$4:$W$4,0))))</f>
        <v>3813.9274765561777</v>
      </c>
      <c r="V18" s="168">
        <f ca="1">IF($C18-V$1&lt;År1,0,U17*(1-VLOOKUP($A18,[1]Hugst!$R$5:$W$9,MATCH(ROUNDUP((V$1)/10,0)*10,[1]Hugst!$R$4:$W$4,0))))</f>
        <v>3824.804089596807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*VLOOKUP(A19,Skovbrug!$A$13:$D$17,IF('Skovbrug-alder'!C19&lt;=År2,3,4),FALSE)-IF(C19&gt;2020,SUM(INDEX($C$1:$D$311,MATCH(1,(2020=$C$1:$C$311)*(B19=$B$1:$B$311)*(A19=$A$1:$A$311),0),2):D18),0))</f>
        <v>1997.6345750158653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3647.1160564973457</v>
      </c>
      <c r="G19" s="168">
        <f ca="1">IF($C19-G$1&lt;År1,0,F18*(1-VLOOKUP($A19,[1]Hugst!$R$5:$W$9,MATCH(ROUNDUP((G$1)/10,0)*10,[1]Hugst!$R$4:$W$4,0))))</f>
        <v>3657.1544211959322</v>
      </c>
      <c r="H19" s="168">
        <f ca="1">IF($C19-H$1&lt;År1,0,G18*(1-VLOOKUP($A19,[1]Hugst!$R$5:$W$9,MATCH(ROUNDUP((H$1)/10,0)*10,[1]Hugst!$R$4:$W$4,0))))</f>
        <v>3667.2432299382258</v>
      </c>
      <c r="I19" s="168">
        <f ca="1">IF($C19-I$1&lt;År1,0,H18*(1-VLOOKUP($A19,[1]Hugst!$R$5:$W$9,MATCH(ROUNDUP((I$1)/10,0)*10,[1]Hugst!$R$4:$W$4,0))))</f>
        <v>3677.3827362118377</v>
      </c>
      <c r="J19" s="168">
        <f ca="1">IF($C19-J$1&lt;År1,0,I18*(1-VLOOKUP($A19,[1]Hugst!$R$5:$W$9,MATCH(ROUNDUP((J$1)/10,0)*10,[1]Hugst!$R$4:$W$4,0))))</f>
        <v>3687.573194778312</v>
      </c>
      <c r="K19" s="168">
        <f ca="1">IF($C19-K$1&lt;År1,0,J18*(1-VLOOKUP($A19,[1]Hugst!$R$5:$W$9,MATCH(ROUNDUP((K$1)/10,0)*10,[1]Hugst!$R$4:$W$4,0))))</f>
        <v>3697.8148616793537</v>
      </c>
      <c r="L19" s="168">
        <f ca="1">IF($C19-L$1&lt;År1,0,K18*(1-VLOOKUP($A19,[1]Hugst!$R$5:$W$9,MATCH(ROUNDUP((L$1)/10,0)*10,[1]Hugst!$R$4:$W$4,0))))</f>
        <v>3708.1079942430574</v>
      </c>
      <c r="M19" s="168">
        <f ca="1">IF($C19-M$1&lt;År1,0,L18*(1-VLOOKUP($A19,[1]Hugst!$R$5:$W$9,MATCH(ROUNDUP((M$1)/10,0)*10,[1]Hugst!$R$4:$W$4,0))))</f>
        <v>3718.4528510912414</v>
      </c>
      <c r="N19" s="168">
        <f ca="1">IF($C19-N$1&lt;År1,0,M18*(1-VLOOKUP($A19,[1]Hugst!$R$5:$W$9,MATCH(ROUNDUP((N$1)/10,0)*10,[1]Hugst!$R$4:$W$4,0))))</f>
        <v>3728.8496921444521</v>
      </c>
      <c r="O19" s="168">
        <f ca="1">IF($C19-O$1&lt;År1,0,N18*(1-VLOOKUP($A19,[1]Hugst!$R$5:$W$9,MATCH(ROUNDUP((O$1)/10,0)*10,[1]Hugst!$R$4:$W$4,0))))</f>
        <v>3739.2987786302901</v>
      </c>
      <c r="P19" s="168">
        <f ca="1">IF($C19-P$1&lt;År1,0,O18*(1-VLOOKUP($A19,[1]Hugst!$R$5:$W$9,MATCH(ROUNDUP((P$1)/10,0)*10,[1]Hugst!$R$4:$W$4,0))))</f>
        <v>3749.8003730882983</v>
      </c>
      <c r="Q19" s="168">
        <f ca="1">IF($C19-Q$1&lt;År1,0,P18*(1-VLOOKUP($A19,[1]Hugst!$R$5:$W$9,MATCH(ROUNDUP((Q$1)/10,0)*10,[1]Hugst!$R$4:$W$4,0))))</f>
        <v>3760.3547393777617</v>
      </c>
      <c r="R19" s="168">
        <f ca="1">IF($C19-R$1&lt;År1,0,Q18*(1-VLOOKUP($A19,[1]Hugst!$R$5:$W$9,MATCH(ROUNDUP((R$1)/10,0)*10,[1]Hugst!$R$4:$W$4,0))))</f>
        <v>3770.9621426837612</v>
      </c>
      <c r="S19" s="168">
        <f ca="1">IF($C19-S$1&lt;År1,0,R18*(1-VLOOKUP($A19,[1]Hugst!$R$5:$W$9,MATCH(ROUNDUP((S$1)/10,0)*10,[1]Hugst!$R$4:$W$4,0))))</f>
        <v>3781.6228495239839</v>
      </c>
      <c r="T19" s="168">
        <f ca="1">IF($C19-T$1&lt;År1,0,S18*(1-VLOOKUP($A19,[1]Hugst!$R$5:$W$9,MATCH(ROUNDUP((T$1)/10,0)*10,[1]Hugst!$R$4:$W$4,0))))</f>
        <v>3792.3371277553588</v>
      </c>
      <c r="U19" s="168">
        <f ca="1">IF($C19-U$1&lt;År1,0,T18*(1-VLOOKUP($A19,[1]Hugst!$R$5:$W$9,MATCH(ROUNDUP((U$1)/10,0)*10,[1]Hugst!$R$4:$W$4,0))))</f>
        <v>3803.1052465808671</v>
      </c>
      <c r="V19" s="168">
        <f ca="1">IF($C19-V$1&lt;År1,0,U18*(1-VLOOKUP($A19,[1]Hugst!$R$5:$W$9,MATCH(ROUNDUP((V$1)/10,0)*10,[1]Hugst!$R$4:$W$4,0))))</f>
        <v>3813.9274765561777</v>
      </c>
      <c r="W19" s="168">
        <f ca="1">IF($C19-W$1&lt;År1,0,V18*(1-VLOOKUP($A19,[1]Hugst!$R$5:$W$9,MATCH(ROUNDUP((W$1)/10,0)*10,[1]Hugst!$R$4:$W$4,0))))</f>
        <v>3824.804089596807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*VLOOKUP(A20,Skovbrug!$A$13:$D$17,IF('Skovbrug-alder'!C20&lt;=År2,3,4),FALSE)-IF(C20&gt;2020,SUM(INDEX($C$1:$D$311,MATCH(1,(2020=$C$1:$C$311)*(B20=$B$1:$B$311)*(A20=$A$1:$A$311),0),2):D19),0))</f>
        <v>1987.6464021408465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3637.1278836223269</v>
      </c>
      <c r="G20" s="168">
        <f ca="1">IF($C20-G$1&lt;År1,0,F19*(1-VLOOKUP($A20,[1]Hugst!$R$5:$W$9,MATCH(ROUNDUP((G$1)/10,0)*10,[1]Hugst!$R$4:$W$4,0))))</f>
        <v>3647.1160564973457</v>
      </c>
      <c r="H20" s="168">
        <f ca="1">IF($C20-H$1&lt;År1,0,G19*(1-VLOOKUP($A20,[1]Hugst!$R$5:$W$9,MATCH(ROUNDUP((H$1)/10,0)*10,[1]Hugst!$R$4:$W$4,0))))</f>
        <v>3657.1544211959322</v>
      </c>
      <c r="I20" s="168">
        <f ca="1">IF($C20-I$1&lt;År1,0,H19*(1-VLOOKUP($A20,[1]Hugst!$R$5:$W$9,MATCH(ROUNDUP((I$1)/10,0)*10,[1]Hugst!$R$4:$W$4,0))))</f>
        <v>3667.2432299382258</v>
      </c>
      <c r="J20" s="168">
        <f ca="1">IF($C20-J$1&lt;År1,0,I19*(1-VLOOKUP($A20,[1]Hugst!$R$5:$W$9,MATCH(ROUNDUP((J$1)/10,0)*10,[1]Hugst!$R$4:$W$4,0))))</f>
        <v>3677.3827362118377</v>
      </c>
      <c r="K20" s="168">
        <f ca="1">IF($C20-K$1&lt;År1,0,J19*(1-VLOOKUP($A20,[1]Hugst!$R$5:$W$9,MATCH(ROUNDUP((K$1)/10,0)*10,[1]Hugst!$R$4:$W$4,0))))</f>
        <v>3687.573194778312</v>
      </c>
      <c r="L20" s="168">
        <f ca="1">IF($C20-L$1&lt;År1,0,K19*(1-VLOOKUP($A20,[1]Hugst!$R$5:$W$9,MATCH(ROUNDUP((L$1)/10,0)*10,[1]Hugst!$R$4:$W$4,0))))</f>
        <v>3697.8148616793537</v>
      </c>
      <c r="M20" s="168">
        <f ca="1">IF($C20-M$1&lt;År1,0,L19*(1-VLOOKUP($A20,[1]Hugst!$R$5:$W$9,MATCH(ROUNDUP((M$1)/10,0)*10,[1]Hugst!$R$4:$W$4,0))))</f>
        <v>3708.1079942430574</v>
      </c>
      <c r="N20" s="168">
        <f ca="1">IF($C20-N$1&lt;År1,0,M19*(1-VLOOKUP($A20,[1]Hugst!$R$5:$W$9,MATCH(ROUNDUP((N$1)/10,0)*10,[1]Hugst!$R$4:$W$4,0))))</f>
        <v>3718.4528510912414</v>
      </c>
      <c r="O20" s="168">
        <f ca="1">IF($C20-O$1&lt;År1,0,N19*(1-VLOOKUP($A20,[1]Hugst!$R$5:$W$9,MATCH(ROUNDUP((O$1)/10,0)*10,[1]Hugst!$R$4:$W$4,0))))</f>
        <v>3728.8496921444521</v>
      </c>
      <c r="P20" s="168">
        <f ca="1">IF($C20-P$1&lt;År1,0,O19*(1-VLOOKUP($A20,[1]Hugst!$R$5:$W$9,MATCH(ROUNDUP((P$1)/10,0)*10,[1]Hugst!$R$4:$W$4,0))))</f>
        <v>3739.2987786302901</v>
      </c>
      <c r="Q20" s="168">
        <f ca="1">IF($C20-Q$1&lt;År1,0,P19*(1-VLOOKUP($A20,[1]Hugst!$R$5:$W$9,MATCH(ROUNDUP((Q$1)/10,0)*10,[1]Hugst!$R$4:$W$4,0))))</f>
        <v>3749.8003730882983</v>
      </c>
      <c r="R20" s="168">
        <f ca="1">IF($C20-R$1&lt;År1,0,Q19*(1-VLOOKUP($A20,[1]Hugst!$R$5:$W$9,MATCH(ROUNDUP((R$1)/10,0)*10,[1]Hugst!$R$4:$W$4,0))))</f>
        <v>3760.3547393777617</v>
      </c>
      <c r="S20" s="168">
        <f ca="1">IF($C20-S$1&lt;År1,0,R19*(1-VLOOKUP($A20,[1]Hugst!$R$5:$W$9,MATCH(ROUNDUP((S$1)/10,0)*10,[1]Hugst!$R$4:$W$4,0))))</f>
        <v>3770.9621426837612</v>
      </c>
      <c r="T20" s="168">
        <f ca="1">IF($C20-T$1&lt;År1,0,S19*(1-VLOOKUP($A20,[1]Hugst!$R$5:$W$9,MATCH(ROUNDUP((T$1)/10,0)*10,[1]Hugst!$R$4:$W$4,0))))</f>
        <v>3781.6228495239839</v>
      </c>
      <c r="U20" s="168">
        <f ca="1">IF($C20-U$1&lt;År1,0,T19*(1-VLOOKUP($A20,[1]Hugst!$R$5:$W$9,MATCH(ROUNDUP((U$1)/10,0)*10,[1]Hugst!$R$4:$W$4,0))))</f>
        <v>3792.3371277553588</v>
      </c>
      <c r="V20" s="168">
        <f ca="1">IF($C20-V$1&lt;År1,0,U19*(1-VLOOKUP($A20,[1]Hugst!$R$5:$W$9,MATCH(ROUNDUP((V$1)/10,0)*10,[1]Hugst!$R$4:$W$4,0))))</f>
        <v>3803.1052465808671</v>
      </c>
      <c r="W20" s="168">
        <f ca="1">IF($C20-W$1&lt;År1,0,V19*(1-VLOOKUP($A20,[1]Hugst!$R$5:$W$9,MATCH(ROUNDUP((W$1)/10,0)*10,[1]Hugst!$R$4:$W$4,0))))</f>
        <v>3813.9274765561777</v>
      </c>
      <c r="X20" s="168">
        <f ca="1">IF($C20-X$1&lt;År1,0,W19*(1-VLOOKUP($A20,[1]Hugst!$R$5:$W$9,MATCH(ROUNDUP((X$1)/10,0)*10,[1]Hugst!$R$4:$W$4,0))))</f>
        <v>3824.804089596807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*VLOOKUP(A21,Skovbrug!$A$13:$D$17,IF('Skovbrug-alder'!C21&lt;=År2,3,4),FALSE)-IF(C21&gt;2020,SUM(INDEX($C$1:$D$311,MATCH(1,(2020=$C$1:$C$311)*(B21=$B$1:$B$311)*(A21=$A$1:$A$311),0),2):D20),0))</f>
        <v>1977.708170130034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3627.1896516115144</v>
      </c>
      <c r="G21" s="168">
        <f ca="1">IF($C21-G$1&lt;År1,0,F20*(1-VLOOKUP($A21,[1]Hugst!$R$5:$W$9,MATCH(ROUNDUP((G$1)/10,0)*10,[1]Hugst!$R$4:$W$4,0))))</f>
        <v>3637.1278836223269</v>
      </c>
      <c r="H21" s="168">
        <f ca="1">IF($C21-H$1&lt;År1,0,G20*(1-VLOOKUP($A21,[1]Hugst!$R$5:$W$9,MATCH(ROUNDUP((H$1)/10,0)*10,[1]Hugst!$R$4:$W$4,0))))</f>
        <v>3647.1160564973457</v>
      </c>
      <c r="I21" s="168">
        <f ca="1">IF($C21-I$1&lt;År1,0,H20*(1-VLOOKUP($A21,[1]Hugst!$R$5:$W$9,MATCH(ROUNDUP((I$1)/10,0)*10,[1]Hugst!$R$4:$W$4,0))))</f>
        <v>3657.1544211959322</v>
      </c>
      <c r="J21" s="168">
        <f ca="1">IF($C21-J$1&lt;År1,0,I20*(1-VLOOKUP($A21,[1]Hugst!$R$5:$W$9,MATCH(ROUNDUP((J$1)/10,0)*10,[1]Hugst!$R$4:$W$4,0))))</f>
        <v>3667.2432299382258</v>
      </c>
      <c r="K21" s="168">
        <f ca="1">IF($C21-K$1&lt;År1,0,J20*(1-VLOOKUP($A21,[1]Hugst!$R$5:$W$9,MATCH(ROUNDUP((K$1)/10,0)*10,[1]Hugst!$R$4:$W$4,0))))</f>
        <v>3677.3827362118377</v>
      </c>
      <c r="L21" s="168">
        <f ca="1">IF($C21-L$1&lt;År1,0,K20*(1-VLOOKUP($A21,[1]Hugst!$R$5:$W$9,MATCH(ROUNDUP((L$1)/10,0)*10,[1]Hugst!$R$4:$W$4,0))))</f>
        <v>3687.573194778312</v>
      </c>
      <c r="M21" s="168">
        <f ca="1">IF($C21-M$1&lt;År1,0,L20*(1-VLOOKUP($A21,[1]Hugst!$R$5:$W$9,MATCH(ROUNDUP((M$1)/10,0)*10,[1]Hugst!$R$4:$W$4,0))))</f>
        <v>3697.8148616793537</v>
      </c>
      <c r="N21" s="168">
        <f ca="1">IF($C21-N$1&lt;År1,0,M20*(1-VLOOKUP($A21,[1]Hugst!$R$5:$W$9,MATCH(ROUNDUP((N$1)/10,0)*10,[1]Hugst!$R$4:$W$4,0))))</f>
        <v>3708.1079942430574</v>
      </c>
      <c r="O21" s="168">
        <f ca="1">IF($C21-O$1&lt;År1,0,N20*(1-VLOOKUP($A21,[1]Hugst!$R$5:$W$9,MATCH(ROUNDUP((O$1)/10,0)*10,[1]Hugst!$R$4:$W$4,0))))</f>
        <v>3718.4528510912414</v>
      </c>
      <c r="P21" s="168">
        <f ca="1">IF($C21-P$1&lt;År1,0,O20*(1-VLOOKUP($A21,[1]Hugst!$R$5:$W$9,MATCH(ROUNDUP((P$1)/10,0)*10,[1]Hugst!$R$4:$W$4,0))))</f>
        <v>3728.8496921444521</v>
      </c>
      <c r="Q21" s="168">
        <f ca="1">IF($C21-Q$1&lt;År1,0,P20*(1-VLOOKUP($A21,[1]Hugst!$R$5:$W$9,MATCH(ROUNDUP((Q$1)/10,0)*10,[1]Hugst!$R$4:$W$4,0))))</f>
        <v>3739.2987786302901</v>
      </c>
      <c r="R21" s="168">
        <f ca="1">IF($C21-R$1&lt;År1,0,Q20*(1-VLOOKUP($A21,[1]Hugst!$R$5:$W$9,MATCH(ROUNDUP((R$1)/10,0)*10,[1]Hugst!$R$4:$W$4,0))))</f>
        <v>3749.8003730882983</v>
      </c>
      <c r="S21" s="168">
        <f ca="1">IF($C21-S$1&lt;År1,0,R20*(1-VLOOKUP($A21,[1]Hugst!$R$5:$W$9,MATCH(ROUNDUP((S$1)/10,0)*10,[1]Hugst!$R$4:$W$4,0))))</f>
        <v>3760.3547393777617</v>
      </c>
      <c r="T21" s="168">
        <f ca="1">IF($C21-T$1&lt;År1,0,S20*(1-VLOOKUP($A21,[1]Hugst!$R$5:$W$9,MATCH(ROUNDUP((T$1)/10,0)*10,[1]Hugst!$R$4:$W$4,0))))</f>
        <v>3770.9621426837612</v>
      </c>
      <c r="U21" s="168">
        <f ca="1">IF($C21-U$1&lt;År1,0,T20*(1-VLOOKUP($A21,[1]Hugst!$R$5:$W$9,MATCH(ROUNDUP((U$1)/10,0)*10,[1]Hugst!$R$4:$W$4,0))))</f>
        <v>3781.6228495239839</v>
      </c>
      <c r="V21" s="168">
        <f ca="1">IF($C21-V$1&lt;År1,0,U20*(1-VLOOKUP($A21,[1]Hugst!$R$5:$W$9,MATCH(ROUNDUP((V$1)/10,0)*10,[1]Hugst!$R$4:$W$4,0))))</f>
        <v>3792.3371277553588</v>
      </c>
      <c r="W21" s="168">
        <f ca="1">IF($C21-W$1&lt;År1,0,V20*(1-VLOOKUP($A21,[1]Hugst!$R$5:$W$9,MATCH(ROUNDUP((W$1)/10,0)*10,[1]Hugst!$R$4:$W$4,0))))</f>
        <v>3803.1052465808671</v>
      </c>
      <c r="X21" s="168">
        <f ca="1">IF($C21-X$1&lt;År1,0,W20*(1-VLOOKUP($A21,[1]Hugst!$R$5:$W$9,MATCH(ROUNDUP((X$1)/10,0)*10,[1]Hugst!$R$4:$W$4,0))))</f>
        <v>3813.9274765561777</v>
      </c>
      <c r="Y21" s="168">
        <f ca="1">IF($C21-Y$1&lt;År1,0,X20*(1-VLOOKUP($A21,[1]Hugst!$R$5:$W$9,MATCH(ROUNDUP((Y$1)/10,0)*10,[1]Hugst!$R$4:$W$4,0))))</f>
        <v>3824.804089596807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*VLOOKUP(A22,Skovbrug!$A$13:$D$17,IF('Skovbrug-alder'!C22&lt;=År2,3,4),FALSE)-IF(C22&gt;2020,SUM(INDEX($C$1:$D$311,MATCH(1,(2020=$C$1:$C$311)*(B22=$B$1:$B$311)*(A22=$A$1:$A$311),0),2):D21),0))</f>
        <v>1967.819629279431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3617.3011107609113</v>
      </c>
      <c r="G22" s="168">
        <f ca="1">IF($C22-G$1&lt;År1,0,F21*(1-VLOOKUP($A22,[1]Hugst!$R$5:$W$9,MATCH(ROUNDUP((G$1)/10,0)*10,[1]Hugst!$R$4:$W$4,0))))</f>
        <v>3627.1896516115144</v>
      </c>
      <c r="H22" s="168">
        <f ca="1">IF($C22-H$1&lt;År1,0,G21*(1-VLOOKUP($A22,[1]Hugst!$R$5:$W$9,MATCH(ROUNDUP((H$1)/10,0)*10,[1]Hugst!$R$4:$W$4,0))))</f>
        <v>3637.1278836223269</v>
      </c>
      <c r="I22" s="168">
        <f ca="1">IF($C22-I$1&lt;År1,0,H21*(1-VLOOKUP($A22,[1]Hugst!$R$5:$W$9,MATCH(ROUNDUP((I$1)/10,0)*10,[1]Hugst!$R$4:$W$4,0))))</f>
        <v>3647.1160564973457</v>
      </c>
      <c r="J22" s="168">
        <f ca="1">IF($C22-J$1&lt;År1,0,I21*(1-VLOOKUP($A22,[1]Hugst!$R$5:$W$9,MATCH(ROUNDUP((J$1)/10,0)*10,[1]Hugst!$R$4:$W$4,0))))</f>
        <v>3657.1544211959322</v>
      </c>
      <c r="K22" s="168">
        <f ca="1">IF($C22-K$1&lt;År1,0,J21*(1-VLOOKUP($A22,[1]Hugst!$R$5:$W$9,MATCH(ROUNDUP((K$1)/10,0)*10,[1]Hugst!$R$4:$W$4,0))))</f>
        <v>3667.2432299382258</v>
      </c>
      <c r="L22" s="168">
        <f ca="1">IF($C22-L$1&lt;År1,0,K21*(1-VLOOKUP($A22,[1]Hugst!$R$5:$W$9,MATCH(ROUNDUP((L$1)/10,0)*10,[1]Hugst!$R$4:$W$4,0))))</f>
        <v>3677.3827362118377</v>
      </c>
      <c r="M22" s="168">
        <f ca="1">IF($C22-M$1&lt;År1,0,L21*(1-VLOOKUP($A22,[1]Hugst!$R$5:$W$9,MATCH(ROUNDUP((M$1)/10,0)*10,[1]Hugst!$R$4:$W$4,0))))</f>
        <v>3687.573194778312</v>
      </c>
      <c r="N22" s="168">
        <f ca="1">IF($C22-N$1&lt;År1,0,M21*(1-VLOOKUP($A22,[1]Hugst!$R$5:$W$9,MATCH(ROUNDUP((N$1)/10,0)*10,[1]Hugst!$R$4:$W$4,0))))</f>
        <v>3697.8148616793537</v>
      </c>
      <c r="O22" s="168">
        <f ca="1">IF($C22-O$1&lt;År1,0,N21*(1-VLOOKUP($A22,[1]Hugst!$R$5:$W$9,MATCH(ROUNDUP((O$1)/10,0)*10,[1]Hugst!$R$4:$W$4,0))))</f>
        <v>3708.1079942430574</v>
      </c>
      <c r="P22" s="168">
        <f ca="1">IF($C22-P$1&lt;År1,0,O21*(1-VLOOKUP($A22,[1]Hugst!$R$5:$W$9,MATCH(ROUNDUP((P$1)/10,0)*10,[1]Hugst!$R$4:$W$4,0))))</f>
        <v>3718.4528510912414</v>
      </c>
      <c r="Q22" s="168">
        <f ca="1">IF($C22-Q$1&lt;År1,0,P21*(1-VLOOKUP($A22,[1]Hugst!$R$5:$W$9,MATCH(ROUNDUP((Q$1)/10,0)*10,[1]Hugst!$R$4:$W$4,0))))</f>
        <v>3728.8496921444521</v>
      </c>
      <c r="R22" s="168">
        <f ca="1">IF($C22-R$1&lt;År1,0,Q21*(1-VLOOKUP($A22,[1]Hugst!$R$5:$W$9,MATCH(ROUNDUP((R$1)/10,0)*10,[1]Hugst!$R$4:$W$4,0))))</f>
        <v>3739.2987786302901</v>
      </c>
      <c r="S22" s="168">
        <f ca="1">IF($C22-S$1&lt;År1,0,R21*(1-VLOOKUP($A22,[1]Hugst!$R$5:$W$9,MATCH(ROUNDUP((S$1)/10,0)*10,[1]Hugst!$R$4:$W$4,0))))</f>
        <v>3749.8003730882983</v>
      </c>
      <c r="T22" s="168">
        <f ca="1">IF($C22-T$1&lt;År1,0,S21*(1-VLOOKUP($A22,[1]Hugst!$R$5:$W$9,MATCH(ROUNDUP((T$1)/10,0)*10,[1]Hugst!$R$4:$W$4,0))))</f>
        <v>3760.3547393777617</v>
      </c>
      <c r="U22" s="168">
        <f ca="1">IF($C22-U$1&lt;År1,0,T21*(1-VLOOKUP($A22,[1]Hugst!$R$5:$W$9,MATCH(ROUNDUP((U$1)/10,0)*10,[1]Hugst!$R$4:$W$4,0))))</f>
        <v>3770.9621426837612</v>
      </c>
      <c r="V22" s="168">
        <f ca="1">IF($C22-V$1&lt;År1,0,U21*(1-VLOOKUP($A22,[1]Hugst!$R$5:$W$9,MATCH(ROUNDUP((V$1)/10,0)*10,[1]Hugst!$R$4:$W$4,0))))</f>
        <v>3781.6228495239839</v>
      </c>
      <c r="W22" s="168">
        <f ca="1">IF($C22-W$1&lt;År1,0,V21*(1-VLOOKUP($A22,[1]Hugst!$R$5:$W$9,MATCH(ROUNDUP((W$1)/10,0)*10,[1]Hugst!$R$4:$W$4,0))))</f>
        <v>3792.3371277553588</v>
      </c>
      <c r="X22" s="168">
        <f ca="1">IF($C22-X$1&lt;År1,0,W21*(1-VLOOKUP($A22,[1]Hugst!$R$5:$W$9,MATCH(ROUNDUP((X$1)/10,0)*10,[1]Hugst!$R$4:$W$4,0))))</f>
        <v>3803.1052465808671</v>
      </c>
      <c r="Y22" s="168">
        <f ca="1">IF($C22-Y$1&lt;År1,0,X21*(1-VLOOKUP($A22,[1]Hugst!$R$5:$W$9,MATCH(ROUNDUP((Y$1)/10,0)*10,[1]Hugst!$R$4:$W$4,0))))</f>
        <v>3813.9274765561777</v>
      </c>
      <c r="Z22" s="168">
        <f ca="1">IF($C22-Z$1&lt;År1,0,Y21*(1-VLOOKUP($A22,[1]Hugst!$R$5:$W$9,MATCH(ROUNDUP((Z$1)/10,0)*10,[1]Hugst!$R$4:$W$4,0))))</f>
        <v>3824.804089596807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*VLOOKUP(A23,Skovbrug!$A$13:$D$17,IF('Skovbrug-alder'!C23&lt;=År2,3,4),FALSE)-IF(C23&gt;2020,SUM(INDEX($C$1:$D$311,MATCH(1,(2020=$C$1:$C$311)*(B23=$B$1:$B$311)*(A23=$A$1:$A$311),0),2):D22),0))</f>
        <v>1957.9805311330711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3607.4620126145514</v>
      </c>
      <c r="G23" s="168">
        <f ca="1">IF($C23-G$1&lt;År1,0,F22*(1-VLOOKUP($A23,[1]Hugst!$R$5:$W$9,MATCH(ROUNDUP((G$1)/10,0)*10,[1]Hugst!$R$4:$W$4,0))))</f>
        <v>3617.3011107609113</v>
      </c>
      <c r="H23" s="168">
        <f ca="1">IF($C23-H$1&lt;År1,0,G22*(1-VLOOKUP($A23,[1]Hugst!$R$5:$W$9,MATCH(ROUNDUP((H$1)/10,0)*10,[1]Hugst!$R$4:$W$4,0))))</f>
        <v>3627.1896516115144</v>
      </c>
      <c r="I23" s="168">
        <f ca="1">IF($C23-I$1&lt;År1,0,H22*(1-VLOOKUP($A23,[1]Hugst!$R$5:$W$9,MATCH(ROUNDUP((I$1)/10,0)*10,[1]Hugst!$R$4:$W$4,0))))</f>
        <v>3637.1278836223269</v>
      </c>
      <c r="J23" s="168">
        <f ca="1">IF($C23-J$1&lt;År1,0,I22*(1-VLOOKUP($A23,[1]Hugst!$R$5:$W$9,MATCH(ROUNDUP((J$1)/10,0)*10,[1]Hugst!$R$4:$W$4,0))))</f>
        <v>3647.1160564973457</v>
      </c>
      <c r="K23" s="168">
        <f ca="1">IF($C23-K$1&lt;År1,0,J22*(1-VLOOKUP($A23,[1]Hugst!$R$5:$W$9,MATCH(ROUNDUP((K$1)/10,0)*10,[1]Hugst!$R$4:$W$4,0))))</f>
        <v>3657.1544211959322</v>
      </c>
      <c r="L23" s="168">
        <f ca="1">IF($C23-L$1&lt;År1,0,K22*(1-VLOOKUP($A23,[1]Hugst!$R$5:$W$9,MATCH(ROUNDUP((L$1)/10,0)*10,[1]Hugst!$R$4:$W$4,0))))</f>
        <v>3667.2432299382258</v>
      </c>
      <c r="M23" s="168">
        <f ca="1">IF($C23-M$1&lt;År1,0,L22*(1-VLOOKUP($A23,[1]Hugst!$R$5:$W$9,MATCH(ROUNDUP((M$1)/10,0)*10,[1]Hugst!$R$4:$W$4,0))))</f>
        <v>3677.3827362118377</v>
      </c>
      <c r="N23" s="168">
        <f ca="1">IF($C23-N$1&lt;År1,0,M22*(1-VLOOKUP($A23,[1]Hugst!$R$5:$W$9,MATCH(ROUNDUP((N$1)/10,0)*10,[1]Hugst!$R$4:$W$4,0))))</f>
        <v>3687.573194778312</v>
      </c>
      <c r="O23" s="168">
        <f ca="1">IF($C23-O$1&lt;År1,0,N22*(1-VLOOKUP($A23,[1]Hugst!$R$5:$W$9,MATCH(ROUNDUP((O$1)/10,0)*10,[1]Hugst!$R$4:$W$4,0))))</f>
        <v>3697.8148616793537</v>
      </c>
      <c r="P23" s="168">
        <f ca="1">IF($C23-P$1&lt;År1,0,O22*(1-VLOOKUP($A23,[1]Hugst!$R$5:$W$9,MATCH(ROUNDUP((P$1)/10,0)*10,[1]Hugst!$R$4:$W$4,0))))</f>
        <v>3708.1079942430574</v>
      </c>
      <c r="Q23" s="168">
        <f ca="1">IF($C23-Q$1&lt;År1,0,P22*(1-VLOOKUP($A23,[1]Hugst!$R$5:$W$9,MATCH(ROUNDUP((Q$1)/10,0)*10,[1]Hugst!$R$4:$W$4,0))))</f>
        <v>3718.4528510912414</v>
      </c>
      <c r="R23" s="168">
        <f ca="1">IF($C23-R$1&lt;År1,0,Q22*(1-VLOOKUP($A23,[1]Hugst!$R$5:$W$9,MATCH(ROUNDUP((R$1)/10,0)*10,[1]Hugst!$R$4:$W$4,0))))</f>
        <v>3728.8496921444521</v>
      </c>
      <c r="S23" s="168">
        <f ca="1">IF($C23-S$1&lt;År1,0,R22*(1-VLOOKUP($A23,[1]Hugst!$R$5:$W$9,MATCH(ROUNDUP((S$1)/10,0)*10,[1]Hugst!$R$4:$W$4,0))))</f>
        <v>3739.2987786302901</v>
      </c>
      <c r="T23" s="168">
        <f ca="1">IF($C23-T$1&lt;År1,0,S22*(1-VLOOKUP($A23,[1]Hugst!$R$5:$W$9,MATCH(ROUNDUP((T$1)/10,0)*10,[1]Hugst!$R$4:$W$4,0))))</f>
        <v>3749.8003730882983</v>
      </c>
      <c r="U23" s="168">
        <f ca="1">IF($C23-U$1&lt;År1,0,T22*(1-VLOOKUP($A23,[1]Hugst!$R$5:$W$9,MATCH(ROUNDUP((U$1)/10,0)*10,[1]Hugst!$R$4:$W$4,0))))</f>
        <v>3760.3547393777617</v>
      </c>
      <c r="V23" s="168">
        <f ca="1">IF($C23-V$1&lt;År1,0,U22*(1-VLOOKUP($A23,[1]Hugst!$R$5:$W$9,MATCH(ROUNDUP((V$1)/10,0)*10,[1]Hugst!$R$4:$W$4,0))))</f>
        <v>3770.9621426837612</v>
      </c>
      <c r="W23" s="168">
        <f ca="1">IF($C23-W$1&lt;År1,0,V22*(1-VLOOKUP($A23,[1]Hugst!$R$5:$W$9,MATCH(ROUNDUP((W$1)/10,0)*10,[1]Hugst!$R$4:$W$4,0))))</f>
        <v>3781.6228495239839</v>
      </c>
      <c r="X23" s="168">
        <f ca="1">IF($C23-X$1&lt;År1,0,W22*(1-VLOOKUP($A23,[1]Hugst!$R$5:$W$9,MATCH(ROUNDUP((X$1)/10,0)*10,[1]Hugst!$R$4:$W$4,0))))</f>
        <v>3792.3371277553588</v>
      </c>
      <c r="Y23" s="168">
        <f ca="1">IF($C23-Y$1&lt;År1,0,X22*(1-VLOOKUP($A23,[1]Hugst!$R$5:$W$9,MATCH(ROUNDUP((Y$1)/10,0)*10,[1]Hugst!$R$4:$W$4,0))))</f>
        <v>3803.1052465808671</v>
      </c>
      <c r="Z23" s="168">
        <f ca="1">IF($C23-Z$1&lt;År1,0,Y22*(1-VLOOKUP($A23,[1]Hugst!$R$5:$W$9,MATCH(ROUNDUP((Z$1)/10,0)*10,[1]Hugst!$R$4:$W$4,0))))</f>
        <v>3813.9274765561777</v>
      </c>
      <c r="AA23" s="168">
        <f ca="1">IF($C23-AA$1&lt;År1,0,Z22*(1-VLOOKUP($A23,[1]Hugst!$R$5:$W$9,MATCH(ROUNDUP((AA$1)/10,0)*10,[1]Hugst!$R$4:$W$4,0))))</f>
        <v>3824.804089596807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*VLOOKUP(A24,Skovbrug!$A$13:$D$17,IF('Skovbrug-alder'!C24&lt;=År2,3,4),FALSE)-IF(C24&gt;2020,SUM(INDEX($C$1:$D$311,MATCH(1,(2020=$C$1:$C$311)*(B24=$B$1:$B$311)*(A24=$A$1:$A$311),0),2):D23),0))</f>
        <v>1948.1906284773722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3597.6721099588526</v>
      </c>
      <c r="G24" s="168">
        <f ca="1">IF($C24-G$1&lt;År1,0,F23*(1-VLOOKUP($A24,[1]Hugst!$R$5:$W$9,MATCH(ROUNDUP((G$1)/10,0)*10,[1]Hugst!$R$4:$W$4,0))))</f>
        <v>3607.4620126145514</v>
      </c>
      <c r="H24" s="168">
        <f ca="1">IF($C24-H$1&lt;År1,0,G23*(1-VLOOKUP($A24,[1]Hugst!$R$5:$W$9,MATCH(ROUNDUP((H$1)/10,0)*10,[1]Hugst!$R$4:$W$4,0))))</f>
        <v>3617.3011107609113</v>
      </c>
      <c r="I24" s="168">
        <f ca="1">IF($C24-I$1&lt;År1,0,H23*(1-VLOOKUP($A24,[1]Hugst!$R$5:$W$9,MATCH(ROUNDUP((I$1)/10,0)*10,[1]Hugst!$R$4:$W$4,0))))</f>
        <v>3627.1896516115144</v>
      </c>
      <c r="J24" s="168">
        <f ca="1">IF($C24-J$1&lt;År1,0,I23*(1-VLOOKUP($A24,[1]Hugst!$R$5:$W$9,MATCH(ROUNDUP((J$1)/10,0)*10,[1]Hugst!$R$4:$W$4,0))))</f>
        <v>3637.1278836223269</v>
      </c>
      <c r="K24" s="168">
        <f ca="1">IF($C24-K$1&lt;År1,0,J23*(1-VLOOKUP($A24,[1]Hugst!$R$5:$W$9,MATCH(ROUNDUP((K$1)/10,0)*10,[1]Hugst!$R$4:$W$4,0))))</f>
        <v>3647.1160564973457</v>
      </c>
      <c r="L24" s="168">
        <f ca="1">IF($C24-L$1&lt;År1,0,K23*(1-VLOOKUP($A24,[1]Hugst!$R$5:$W$9,MATCH(ROUNDUP((L$1)/10,0)*10,[1]Hugst!$R$4:$W$4,0))))</f>
        <v>3657.1544211959322</v>
      </c>
      <c r="M24" s="168">
        <f ca="1">IF($C24-M$1&lt;År1,0,L23*(1-VLOOKUP($A24,[1]Hugst!$R$5:$W$9,MATCH(ROUNDUP((M$1)/10,0)*10,[1]Hugst!$R$4:$W$4,0))))</f>
        <v>3667.2432299382258</v>
      </c>
      <c r="N24" s="168">
        <f ca="1">IF($C24-N$1&lt;År1,0,M23*(1-VLOOKUP($A24,[1]Hugst!$R$5:$W$9,MATCH(ROUNDUP((N$1)/10,0)*10,[1]Hugst!$R$4:$W$4,0))))</f>
        <v>3677.3827362118377</v>
      </c>
      <c r="O24" s="168">
        <f ca="1">IF($C24-O$1&lt;År1,0,N23*(1-VLOOKUP($A24,[1]Hugst!$R$5:$W$9,MATCH(ROUNDUP((O$1)/10,0)*10,[1]Hugst!$R$4:$W$4,0))))</f>
        <v>3687.573194778312</v>
      </c>
      <c r="P24" s="168">
        <f ca="1">IF($C24-P$1&lt;År1,0,O23*(1-VLOOKUP($A24,[1]Hugst!$R$5:$W$9,MATCH(ROUNDUP((P$1)/10,0)*10,[1]Hugst!$R$4:$W$4,0))))</f>
        <v>3697.8148616793537</v>
      </c>
      <c r="Q24" s="168">
        <f ca="1">IF($C24-Q$1&lt;År1,0,P23*(1-VLOOKUP($A24,[1]Hugst!$R$5:$W$9,MATCH(ROUNDUP((Q$1)/10,0)*10,[1]Hugst!$R$4:$W$4,0))))</f>
        <v>3708.1079942430574</v>
      </c>
      <c r="R24" s="168">
        <f ca="1">IF($C24-R$1&lt;År1,0,Q23*(1-VLOOKUP($A24,[1]Hugst!$R$5:$W$9,MATCH(ROUNDUP((R$1)/10,0)*10,[1]Hugst!$R$4:$W$4,0))))</f>
        <v>3718.4528510912414</v>
      </c>
      <c r="S24" s="168">
        <f ca="1">IF($C24-S$1&lt;År1,0,R23*(1-VLOOKUP($A24,[1]Hugst!$R$5:$W$9,MATCH(ROUNDUP((S$1)/10,0)*10,[1]Hugst!$R$4:$W$4,0))))</f>
        <v>3728.8496921444521</v>
      </c>
      <c r="T24" s="168">
        <f ca="1">IF($C24-T$1&lt;År1,0,S23*(1-VLOOKUP($A24,[1]Hugst!$R$5:$W$9,MATCH(ROUNDUP((T$1)/10,0)*10,[1]Hugst!$R$4:$W$4,0))))</f>
        <v>3739.2987786302901</v>
      </c>
      <c r="U24" s="168">
        <f ca="1">IF($C24-U$1&lt;År1,0,T23*(1-VLOOKUP($A24,[1]Hugst!$R$5:$W$9,MATCH(ROUNDUP((U$1)/10,0)*10,[1]Hugst!$R$4:$W$4,0))))</f>
        <v>3749.8003730882983</v>
      </c>
      <c r="V24" s="168">
        <f ca="1">IF($C24-V$1&lt;År1,0,U23*(1-VLOOKUP($A24,[1]Hugst!$R$5:$W$9,MATCH(ROUNDUP((V$1)/10,0)*10,[1]Hugst!$R$4:$W$4,0))))</f>
        <v>3760.3547393777617</v>
      </c>
      <c r="W24" s="168">
        <f ca="1">IF($C24-W$1&lt;År1,0,V23*(1-VLOOKUP($A24,[1]Hugst!$R$5:$W$9,MATCH(ROUNDUP((W$1)/10,0)*10,[1]Hugst!$R$4:$W$4,0))))</f>
        <v>3770.9621426837612</v>
      </c>
      <c r="X24" s="168">
        <f ca="1">IF($C24-X$1&lt;År1,0,W23*(1-VLOOKUP($A24,[1]Hugst!$R$5:$W$9,MATCH(ROUNDUP((X$1)/10,0)*10,[1]Hugst!$R$4:$W$4,0))))</f>
        <v>3781.6228495239839</v>
      </c>
      <c r="Y24" s="168">
        <f ca="1">IF($C24-Y$1&lt;År1,0,X23*(1-VLOOKUP($A24,[1]Hugst!$R$5:$W$9,MATCH(ROUNDUP((Y$1)/10,0)*10,[1]Hugst!$R$4:$W$4,0))))</f>
        <v>3792.3371277553588</v>
      </c>
      <c r="Z24" s="168">
        <f ca="1">IF($C24-Z$1&lt;År1,0,Y23*(1-VLOOKUP($A24,[1]Hugst!$R$5:$W$9,MATCH(ROUNDUP((Z$1)/10,0)*10,[1]Hugst!$R$4:$W$4,0))))</f>
        <v>3803.1052465808671</v>
      </c>
      <c r="AA24" s="168">
        <f ca="1">IF($C24-AA$1&lt;År1,0,Z23*(1-VLOOKUP($A24,[1]Hugst!$R$5:$W$9,MATCH(ROUNDUP((AA$1)/10,0)*10,[1]Hugst!$R$4:$W$4,0))))</f>
        <v>3813.9274765561777</v>
      </c>
      <c r="AB24" s="168">
        <f ca="1">IF($C24-AB$1&lt;År1,0,AA23*(1-VLOOKUP($A24,[1]Hugst!$R$5:$W$9,MATCH(ROUNDUP((AB$1)/10,0)*10,[1]Hugst!$R$4:$W$4,0))))</f>
        <v>3824.804089596807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*VLOOKUP(A25,Skovbrug!$A$13:$D$17,IF('Skovbrug-alder'!C25&lt;=År2,3,4),FALSE)-IF(C25&gt;2020,SUM(INDEX($C$1:$D$311,MATCH(1,(2020=$C$1:$C$311)*(B25=$B$1:$B$311)*(A25=$A$1:$A$311),0),2):D24),0))</f>
        <v>1938.4496753349667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3587.9311568164471</v>
      </c>
      <c r="G25" s="168">
        <f ca="1">IF($C25-G$1&lt;År1,0,F24*(1-VLOOKUP($A25,[1]Hugst!$R$5:$W$9,MATCH(ROUNDUP((G$1)/10,0)*10,[1]Hugst!$R$4:$W$4,0))))</f>
        <v>3597.6721099588526</v>
      </c>
      <c r="H25" s="168">
        <f ca="1">IF($C25-H$1&lt;År1,0,G24*(1-VLOOKUP($A25,[1]Hugst!$R$5:$W$9,MATCH(ROUNDUP((H$1)/10,0)*10,[1]Hugst!$R$4:$W$4,0))))</f>
        <v>3607.4620126145514</v>
      </c>
      <c r="I25" s="168">
        <f ca="1">IF($C25-I$1&lt;År1,0,H24*(1-VLOOKUP($A25,[1]Hugst!$R$5:$W$9,MATCH(ROUNDUP((I$1)/10,0)*10,[1]Hugst!$R$4:$W$4,0))))</f>
        <v>3617.3011107609113</v>
      </c>
      <c r="J25" s="168">
        <f ca="1">IF($C25-J$1&lt;År1,0,I24*(1-VLOOKUP($A25,[1]Hugst!$R$5:$W$9,MATCH(ROUNDUP((J$1)/10,0)*10,[1]Hugst!$R$4:$W$4,0))))</f>
        <v>3627.1896516115144</v>
      </c>
      <c r="K25" s="168">
        <f ca="1">IF($C25-K$1&lt;År1,0,J24*(1-VLOOKUP($A25,[1]Hugst!$R$5:$W$9,MATCH(ROUNDUP((K$1)/10,0)*10,[1]Hugst!$R$4:$W$4,0))))</f>
        <v>3637.1278836223269</v>
      </c>
      <c r="L25" s="168">
        <f ca="1">IF($C25-L$1&lt;År1,0,K24*(1-VLOOKUP($A25,[1]Hugst!$R$5:$W$9,MATCH(ROUNDUP((L$1)/10,0)*10,[1]Hugst!$R$4:$W$4,0))))</f>
        <v>3647.1160564973457</v>
      </c>
      <c r="M25" s="168">
        <f ca="1">IF($C25-M$1&lt;År1,0,L24*(1-VLOOKUP($A25,[1]Hugst!$R$5:$W$9,MATCH(ROUNDUP((M$1)/10,0)*10,[1]Hugst!$R$4:$W$4,0))))</f>
        <v>3657.1544211959322</v>
      </c>
      <c r="N25" s="168">
        <f ca="1">IF($C25-N$1&lt;År1,0,M24*(1-VLOOKUP($A25,[1]Hugst!$R$5:$W$9,MATCH(ROUNDUP((N$1)/10,0)*10,[1]Hugst!$R$4:$W$4,0))))</f>
        <v>3667.2432299382258</v>
      </c>
      <c r="O25" s="168">
        <f ca="1">IF($C25-O$1&lt;År1,0,N24*(1-VLOOKUP($A25,[1]Hugst!$R$5:$W$9,MATCH(ROUNDUP((O$1)/10,0)*10,[1]Hugst!$R$4:$W$4,0))))</f>
        <v>3677.3827362118377</v>
      </c>
      <c r="P25" s="168">
        <f ca="1">IF($C25-P$1&lt;År1,0,O24*(1-VLOOKUP($A25,[1]Hugst!$R$5:$W$9,MATCH(ROUNDUP((P$1)/10,0)*10,[1]Hugst!$R$4:$W$4,0))))</f>
        <v>3687.573194778312</v>
      </c>
      <c r="Q25" s="168">
        <f ca="1">IF($C25-Q$1&lt;År1,0,P24*(1-VLOOKUP($A25,[1]Hugst!$R$5:$W$9,MATCH(ROUNDUP((Q$1)/10,0)*10,[1]Hugst!$R$4:$W$4,0))))</f>
        <v>3697.8148616793537</v>
      </c>
      <c r="R25" s="168">
        <f ca="1">IF($C25-R$1&lt;År1,0,Q24*(1-VLOOKUP($A25,[1]Hugst!$R$5:$W$9,MATCH(ROUNDUP((R$1)/10,0)*10,[1]Hugst!$R$4:$W$4,0))))</f>
        <v>3708.1079942430574</v>
      </c>
      <c r="S25" s="168">
        <f ca="1">IF($C25-S$1&lt;År1,0,R24*(1-VLOOKUP($A25,[1]Hugst!$R$5:$W$9,MATCH(ROUNDUP((S$1)/10,0)*10,[1]Hugst!$R$4:$W$4,0))))</f>
        <v>3718.4528510912414</v>
      </c>
      <c r="T25" s="168">
        <f ca="1">IF($C25-T$1&lt;År1,0,S24*(1-VLOOKUP($A25,[1]Hugst!$R$5:$W$9,MATCH(ROUNDUP((T$1)/10,0)*10,[1]Hugst!$R$4:$W$4,0))))</f>
        <v>3728.8496921444521</v>
      </c>
      <c r="U25" s="168">
        <f ca="1">IF($C25-U$1&lt;År1,0,T24*(1-VLOOKUP($A25,[1]Hugst!$R$5:$W$9,MATCH(ROUNDUP((U$1)/10,0)*10,[1]Hugst!$R$4:$W$4,0))))</f>
        <v>3739.2987786302901</v>
      </c>
      <c r="V25" s="168">
        <f ca="1">IF($C25-V$1&lt;År1,0,U24*(1-VLOOKUP($A25,[1]Hugst!$R$5:$W$9,MATCH(ROUNDUP((V$1)/10,0)*10,[1]Hugst!$R$4:$W$4,0))))</f>
        <v>3749.8003730882983</v>
      </c>
      <c r="W25" s="168">
        <f ca="1">IF($C25-W$1&lt;År1,0,V24*(1-VLOOKUP($A25,[1]Hugst!$R$5:$W$9,MATCH(ROUNDUP((W$1)/10,0)*10,[1]Hugst!$R$4:$W$4,0))))</f>
        <v>3760.3547393777617</v>
      </c>
      <c r="X25" s="168">
        <f ca="1">IF($C25-X$1&lt;År1,0,W24*(1-VLOOKUP($A25,[1]Hugst!$R$5:$W$9,MATCH(ROUNDUP((X$1)/10,0)*10,[1]Hugst!$R$4:$W$4,0))))</f>
        <v>3770.9621426837612</v>
      </c>
      <c r="Y25" s="168">
        <f ca="1">IF($C25-Y$1&lt;År1,0,X24*(1-VLOOKUP($A25,[1]Hugst!$R$5:$W$9,MATCH(ROUNDUP((Y$1)/10,0)*10,[1]Hugst!$R$4:$W$4,0))))</f>
        <v>3781.6228495239839</v>
      </c>
      <c r="Z25" s="168">
        <f ca="1">IF($C25-Z$1&lt;År1,0,Y24*(1-VLOOKUP($A25,[1]Hugst!$R$5:$W$9,MATCH(ROUNDUP((Z$1)/10,0)*10,[1]Hugst!$R$4:$W$4,0))))</f>
        <v>3792.3371277553588</v>
      </c>
      <c r="AA25" s="168">
        <f ca="1">IF($C25-AA$1&lt;År1,0,Z24*(1-VLOOKUP($A25,[1]Hugst!$R$5:$W$9,MATCH(ROUNDUP((AA$1)/10,0)*10,[1]Hugst!$R$4:$W$4,0))))</f>
        <v>3803.1052465808671</v>
      </c>
      <c r="AB25" s="168">
        <f ca="1">IF($C25-AB$1&lt;År1,0,AA24*(1-VLOOKUP($A25,[1]Hugst!$R$5:$W$9,MATCH(ROUNDUP((AB$1)/10,0)*10,[1]Hugst!$R$4:$W$4,0))))</f>
        <v>3813.9274765561777</v>
      </c>
      <c r="AC25" s="168">
        <f ca="1">IF($C25-AC$1&lt;År1,0,AB24*(1-VLOOKUP($A25,[1]Hugst!$R$5:$W$9,MATCH(ROUNDUP((AC$1)/10,0)*10,[1]Hugst!$R$4:$W$4,0))))</f>
        <v>3824.804089596807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*VLOOKUP(A26,Skovbrug!$A$13:$D$17,IF('Skovbrug-alder'!C26&lt;=År2,3,4),FALSE)-IF(C26&gt;2020,SUM(INDEX($C$1:$D$311,MATCH(1,(2020=$C$1:$C$311)*(B26=$B$1:$B$311)*(A26=$A$1:$A$311),0),2):D25),0))</f>
        <v>1928.7574269582983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3578.2389084397787</v>
      </c>
      <c r="G26" s="168">
        <f ca="1">IF($C26-G$1&lt;År1,0,F25*(1-VLOOKUP($A26,[1]Hugst!$R$5:$W$9,MATCH(ROUNDUP((G$1)/10,0)*10,[1]Hugst!$R$4:$W$4,0))))</f>
        <v>3587.9311568164471</v>
      </c>
      <c r="H26" s="168">
        <f ca="1">IF($C26-H$1&lt;År1,0,G25*(1-VLOOKUP($A26,[1]Hugst!$R$5:$W$9,MATCH(ROUNDUP((H$1)/10,0)*10,[1]Hugst!$R$4:$W$4,0))))</f>
        <v>3597.6721099588526</v>
      </c>
      <c r="I26" s="168">
        <f ca="1">IF($C26-I$1&lt;År1,0,H25*(1-VLOOKUP($A26,[1]Hugst!$R$5:$W$9,MATCH(ROUNDUP((I$1)/10,0)*10,[1]Hugst!$R$4:$W$4,0))))</f>
        <v>3607.4620126145514</v>
      </c>
      <c r="J26" s="168">
        <f ca="1">IF($C26-J$1&lt;År1,0,I25*(1-VLOOKUP($A26,[1]Hugst!$R$5:$W$9,MATCH(ROUNDUP((J$1)/10,0)*10,[1]Hugst!$R$4:$W$4,0))))</f>
        <v>3617.3011107609113</v>
      </c>
      <c r="K26" s="168">
        <f ca="1">IF($C26-K$1&lt;År1,0,J25*(1-VLOOKUP($A26,[1]Hugst!$R$5:$W$9,MATCH(ROUNDUP((K$1)/10,0)*10,[1]Hugst!$R$4:$W$4,0))))</f>
        <v>3627.1896516115144</v>
      </c>
      <c r="L26" s="168">
        <f ca="1">IF($C26-L$1&lt;År1,0,K25*(1-VLOOKUP($A26,[1]Hugst!$R$5:$W$9,MATCH(ROUNDUP((L$1)/10,0)*10,[1]Hugst!$R$4:$W$4,0))))</f>
        <v>3637.1278836223269</v>
      </c>
      <c r="M26" s="168">
        <f ca="1">IF($C26-M$1&lt;År1,0,L25*(1-VLOOKUP($A26,[1]Hugst!$R$5:$W$9,MATCH(ROUNDUP((M$1)/10,0)*10,[1]Hugst!$R$4:$W$4,0))))</f>
        <v>3647.1160564973457</v>
      </c>
      <c r="N26" s="168">
        <f ca="1">IF($C26-N$1&lt;År1,0,M25*(1-VLOOKUP($A26,[1]Hugst!$R$5:$W$9,MATCH(ROUNDUP((N$1)/10,0)*10,[1]Hugst!$R$4:$W$4,0))))</f>
        <v>3657.1544211959322</v>
      </c>
      <c r="O26" s="168">
        <f ca="1">IF($C26-O$1&lt;År1,0,N25*(1-VLOOKUP($A26,[1]Hugst!$R$5:$W$9,MATCH(ROUNDUP((O$1)/10,0)*10,[1]Hugst!$R$4:$W$4,0))))</f>
        <v>3667.2432299382258</v>
      </c>
      <c r="P26" s="168">
        <f ca="1">IF($C26-P$1&lt;År1,0,O25*(1-VLOOKUP($A26,[1]Hugst!$R$5:$W$9,MATCH(ROUNDUP((P$1)/10,0)*10,[1]Hugst!$R$4:$W$4,0))))</f>
        <v>3677.3827362118377</v>
      </c>
      <c r="Q26" s="168">
        <f ca="1">IF($C26-Q$1&lt;År1,0,P25*(1-VLOOKUP($A26,[1]Hugst!$R$5:$W$9,MATCH(ROUNDUP((Q$1)/10,0)*10,[1]Hugst!$R$4:$W$4,0))))</f>
        <v>3687.573194778312</v>
      </c>
      <c r="R26" s="168">
        <f ca="1">IF($C26-R$1&lt;År1,0,Q25*(1-VLOOKUP($A26,[1]Hugst!$R$5:$W$9,MATCH(ROUNDUP((R$1)/10,0)*10,[1]Hugst!$R$4:$W$4,0))))</f>
        <v>3697.8148616793537</v>
      </c>
      <c r="S26" s="168">
        <f ca="1">IF($C26-S$1&lt;År1,0,R25*(1-VLOOKUP($A26,[1]Hugst!$R$5:$W$9,MATCH(ROUNDUP((S$1)/10,0)*10,[1]Hugst!$R$4:$W$4,0))))</f>
        <v>3708.1079942430574</v>
      </c>
      <c r="T26" s="168">
        <f ca="1">IF($C26-T$1&lt;År1,0,S25*(1-VLOOKUP($A26,[1]Hugst!$R$5:$W$9,MATCH(ROUNDUP((T$1)/10,0)*10,[1]Hugst!$R$4:$W$4,0))))</f>
        <v>3718.4528510912414</v>
      </c>
      <c r="U26" s="168">
        <f ca="1">IF($C26-U$1&lt;År1,0,T25*(1-VLOOKUP($A26,[1]Hugst!$R$5:$W$9,MATCH(ROUNDUP((U$1)/10,0)*10,[1]Hugst!$R$4:$W$4,0))))</f>
        <v>3728.8496921444521</v>
      </c>
      <c r="V26" s="168">
        <f ca="1">IF($C26-V$1&lt;År1,0,U25*(1-VLOOKUP($A26,[1]Hugst!$R$5:$W$9,MATCH(ROUNDUP((V$1)/10,0)*10,[1]Hugst!$R$4:$W$4,0))))</f>
        <v>3739.2987786302901</v>
      </c>
      <c r="W26" s="168">
        <f ca="1">IF($C26-W$1&lt;År1,0,V25*(1-VLOOKUP($A26,[1]Hugst!$R$5:$W$9,MATCH(ROUNDUP((W$1)/10,0)*10,[1]Hugst!$R$4:$W$4,0))))</f>
        <v>3749.8003730882983</v>
      </c>
      <c r="X26" s="168">
        <f ca="1">IF($C26-X$1&lt;År1,0,W25*(1-VLOOKUP($A26,[1]Hugst!$R$5:$W$9,MATCH(ROUNDUP((X$1)/10,0)*10,[1]Hugst!$R$4:$W$4,0))))</f>
        <v>3760.3547393777617</v>
      </c>
      <c r="Y26" s="168">
        <f ca="1">IF($C26-Y$1&lt;År1,0,X25*(1-VLOOKUP($A26,[1]Hugst!$R$5:$W$9,MATCH(ROUNDUP((Y$1)/10,0)*10,[1]Hugst!$R$4:$W$4,0))))</f>
        <v>3770.9621426837612</v>
      </c>
      <c r="Z26" s="168">
        <f ca="1">IF($C26-Z$1&lt;År1,0,Y25*(1-VLOOKUP($A26,[1]Hugst!$R$5:$W$9,MATCH(ROUNDUP((Z$1)/10,0)*10,[1]Hugst!$R$4:$W$4,0))))</f>
        <v>3781.6228495239839</v>
      </c>
      <c r="AA26" s="168">
        <f ca="1">IF($C26-AA$1&lt;År1,0,Z25*(1-VLOOKUP($A26,[1]Hugst!$R$5:$W$9,MATCH(ROUNDUP((AA$1)/10,0)*10,[1]Hugst!$R$4:$W$4,0))))</f>
        <v>3792.3371277553588</v>
      </c>
      <c r="AB26" s="168">
        <f ca="1">IF($C26-AB$1&lt;År1,0,AA25*(1-VLOOKUP($A26,[1]Hugst!$R$5:$W$9,MATCH(ROUNDUP((AB$1)/10,0)*10,[1]Hugst!$R$4:$W$4,0))))</f>
        <v>3803.1052465808671</v>
      </c>
      <c r="AC26" s="168">
        <f ca="1">IF($C26-AC$1&lt;År1,0,AB25*(1-VLOOKUP($A26,[1]Hugst!$R$5:$W$9,MATCH(ROUNDUP((AC$1)/10,0)*10,[1]Hugst!$R$4:$W$4,0))))</f>
        <v>3813.9274765561777</v>
      </c>
      <c r="AD26" s="168">
        <f ca="1">IF($C26-AD$1&lt;År1,0,AC25*(1-VLOOKUP($A26,[1]Hugst!$R$5:$W$9,MATCH(ROUNDUP((AD$1)/10,0)*10,[1]Hugst!$R$4:$W$4,0))))</f>
        <v>3824.804089596807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*VLOOKUP(A27,Skovbrug!$A$13:$D$17,IF('Skovbrug-alder'!C27&lt;=År2,3,4),FALSE)-IF(C27&gt;2020,SUM(INDEX($C$1:$D$311,MATCH(1,(2020=$C$1:$C$311)*(B27=$B$1:$B$311)*(A27=$A$1:$A$311),0),2):D26),0))</f>
        <v>1919.1136398235103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3568.5951213049907</v>
      </c>
      <c r="G27" s="168">
        <f ca="1">IF($C27-G$1&lt;År1,0,F26*(1-VLOOKUP($A27,[1]Hugst!$R$5:$W$9,MATCH(ROUNDUP((G$1)/10,0)*10,[1]Hugst!$R$4:$W$4,0))))</f>
        <v>3578.2389084397787</v>
      </c>
      <c r="H27" s="168">
        <f ca="1">IF($C27-H$1&lt;År1,0,G26*(1-VLOOKUP($A27,[1]Hugst!$R$5:$W$9,MATCH(ROUNDUP((H$1)/10,0)*10,[1]Hugst!$R$4:$W$4,0))))</f>
        <v>3587.9311568164471</v>
      </c>
      <c r="I27" s="168">
        <f ca="1">IF($C27-I$1&lt;År1,0,H26*(1-VLOOKUP($A27,[1]Hugst!$R$5:$W$9,MATCH(ROUNDUP((I$1)/10,0)*10,[1]Hugst!$R$4:$W$4,0))))</f>
        <v>3597.6721099588526</v>
      </c>
      <c r="J27" s="168">
        <f ca="1">IF($C27-J$1&lt;År1,0,I26*(1-VLOOKUP($A27,[1]Hugst!$R$5:$W$9,MATCH(ROUNDUP((J$1)/10,0)*10,[1]Hugst!$R$4:$W$4,0))))</f>
        <v>3607.4620126145514</v>
      </c>
      <c r="K27" s="168">
        <f ca="1">IF($C27-K$1&lt;År1,0,J26*(1-VLOOKUP($A27,[1]Hugst!$R$5:$W$9,MATCH(ROUNDUP((K$1)/10,0)*10,[1]Hugst!$R$4:$W$4,0))))</f>
        <v>3617.3011107609113</v>
      </c>
      <c r="L27" s="168">
        <f ca="1">IF($C27-L$1&lt;År1,0,K26*(1-VLOOKUP($A27,[1]Hugst!$R$5:$W$9,MATCH(ROUNDUP((L$1)/10,0)*10,[1]Hugst!$R$4:$W$4,0))))</f>
        <v>3627.1896516115144</v>
      </c>
      <c r="M27" s="168">
        <f ca="1">IF($C27-M$1&lt;År1,0,L26*(1-VLOOKUP($A27,[1]Hugst!$R$5:$W$9,MATCH(ROUNDUP((M$1)/10,0)*10,[1]Hugst!$R$4:$W$4,0))))</f>
        <v>3637.1278836223269</v>
      </c>
      <c r="N27" s="168">
        <f ca="1">IF($C27-N$1&lt;År1,0,M26*(1-VLOOKUP($A27,[1]Hugst!$R$5:$W$9,MATCH(ROUNDUP((N$1)/10,0)*10,[1]Hugst!$R$4:$W$4,0))))</f>
        <v>3647.1160564973457</v>
      </c>
      <c r="O27" s="168">
        <f ca="1">IF($C27-O$1&lt;År1,0,N26*(1-VLOOKUP($A27,[1]Hugst!$R$5:$W$9,MATCH(ROUNDUP((O$1)/10,0)*10,[1]Hugst!$R$4:$W$4,0))))</f>
        <v>3657.1544211959322</v>
      </c>
      <c r="P27" s="168">
        <f ca="1">IF($C27-P$1&lt;År1,0,O26*(1-VLOOKUP($A27,[1]Hugst!$R$5:$W$9,MATCH(ROUNDUP((P$1)/10,0)*10,[1]Hugst!$R$4:$W$4,0))))</f>
        <v>3667.2432299382258</v>
      </c>
      <c r="Q27" s="168">
        <f ca="1">IF($C27-Q$1&lt;År1,0,P26*(1-VLOOKUP($A27,[1]Hugst!$R$5:$W$9,MATCH(ROUNDUP((Q$1)/10,0)*10,[1]Hugst!$R$4:$W$4,0))))</f>
        <v>3677.3827362118377</v>
      </c>
      <c r="R27" s="168">
        <f ca="1">IF($C27-R$1&lt;År1,0,Q26*(1-VLOOKUP($A27,[1]Hugst!$R$5:$W$9,MATCH(ROUNDUP((R$1)/10,0)*10,[1]Hugst!$R$4:$W$4,0))))</f>
        <v>3687.573194778312</v>
      </c>
      <c r="S27" s="168">
        <f ca="1">IF($C27-S$1&lt;År1,0,R26*(1-VLOOKUP($A27,[1]Hugst!$R$5:$W$9,MATCH(ROUNDUP((S$1)/10,0)*10,[1]Hugst!$R$4:$W$4,0))))</f>
        <v>3697.8148616793537</v>
      </c>
      <c r="T27" s="168">
        <f ca="1">IF($C27-T$1&lt;År1,0,S26*(1-VLOOKUP($A27,[1]Hugst!$R$5:$W$9,MATCH(ROUNDUP((T$1)/10,0)*10,[1]Hugst!$R$4:$W$4,0))))</f>
        <v>3708.1079942430574</v>
      </c>
      <c r="U27" s="168">
        <f ca="1">IF($C27-U$1&lt;År1,0,T26*(1-VLOOKUP($A27,[1]Hugst!$R$5:$W$9,MATCH(ROUNDUP((U$1)/10,0)*10,[1]Hugst!$R$4:$W$4,0))))</f>
        <v>3718.4528510912414</v>
      </c>
      <c r="V27" s="168">
        <f ca="1">IF($C27-V$1&lt;År1,0,U26*(1-VLOOKUP($A27,[1]Hugst!$R$5:$W$9,MATCH(ROUNDUP((V$1)/10,0)*10,[1]Hugst!$R$4:$W$4,0))))</f>
        <v>3728.8496921444521</v>
      </c>
      <c r="W27" s="168">
        <f ca="1">IF($C27-W$1&lt;År1,0,V26*(1-VLOOKUP($A27,[1]Hugst!$R$5:$W$9,MATCH(ROUNDUP((W$1)/10,0)*10,[1]Hugst!$R$4:$W$4,0))))</f>
        <v>3739.2987786302901</v>
      </c>
      <c r="X27" s="168">
        <f ca="1">IF($C27-X$1&lt;År1,0,W26*(1-VLOOKUP($A27,[1]Hugst!$R$5:$W$9,MATCH(ROUNDUP((X$1)/10,0)*10,[1]Hugst!$R$4:$W$4,0))))</f>
        <v>3749.8003730882983</v>
      </c>
      <c r="Y27" s="168">
        <f ca="1">IF($C27-Y$1&lt;År1,0,X26*(1-VLOOKUP($A27,[1]Hugst!$R$5:$W$9,MATCH(ROUNDUP((Y$1)/10,0)*10,[1]Hugst!$R$4:$W$4,0))))</f>
        <v>3760.3547393777617</v>
      </c>
      <c r="Z27" s="168">
        <f ca="1">IF($C27-Z$1&lt;År1,0,Y26*(1-VLOOKUP($A27,[1]Hugst!$R$5:$W$9,MATCH(ROUNDUP((Z$1)/10,0)*10,[1]Hugst!$R$4:$W$4,0))))</f>
        <v>3770.9621426837612</v>
      </c>
      <c r="AA27" s="168">
        <f ca="1">IF($C27-AA$1&lt;År1,0,Z26*(1-VLOOKUP($A27,[1]Hugst!$R$5:$W$9,MATCH(ROUNDUP((AA$1)/10,0)*10,[1]Hugst!$R$4:$W$4,0))))</f>
        <v>3781.6228495239839</v>
      </c>
      <c r="AB27" s="168">
        <f ca="1">IF($C27-AB$1&lt;År1,0,AA26*(1-VLOOKUP($A27,[1]Hugst!$R$5:$W$9,MATCH(ROUNDUP((AB$1)/10,0)*10,[1]Hugst!$R$4:$W$4,0))))</f>
        <v>3792.3371277553588</v>
      </c>
      <c r="AC27" s="168">
        <f ca="1">IF($C27-AC$1&lt;År1,0,AB26*(1-VLOOKUP($A27,[1]Hugst!$R$5:$W$9,MATCH(ROUNDUP((AC$1)/10,0)*10,[1]Hugst!$R$4:$W$4,0))))</f>
        <v>3803.1052465808671</v>
      </c>
      <c r="AD27" s="168">
        <f ca="1">IF($C27-AD$1&lt;År1,0,AC26*(1-VLOOKUP($A27,[1]Hugst!$R$5:$W$9,MATCH(ROUNDUP((AD$1)/10,0)*10,[1]Hugst!$R$4:$W$4,0))))</f>
        <v>3813.9274765561777</v>
      </c>
      <c r="AE27" s="168">
        <f ca="1">IF($C27-AE$1&lt;År1,0,AD26*(1-VLOOKUP($A27,[1]Hugst!$R$5:$W$9,MATCH(ROUNDUP((AE$1)/10,0)*10,[1]Hugst!$R$4:$W$4,0))))</f>
        <v>3824.804089596807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*VLOOKUP(A28,Skovbrug!$A$13:$D$17,IF('Skovbrug-alder'!C28&lt;=År2,3,4),FALSE)-IF(C28&gt;2020,SUM(INDEX($C$1:$D$311,MATCH(1,(2020=$C$1:$C$311)*(B28=$B$1:$B$311)*(A28=$A$1:$A$311),0),2):D27),0))</f>
        <v>1909.5180716244504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3558.9995531059308</v>
      </c>
      <c r="G28" s="168">
        <f ca="1">IF($C28-G$1&lt;År1,0,F27*(1-VLOOKUP($A28,[1]Hugst!$R$5:$W$9,MATCH(ROUNDUP((G$1)/10,0)*10,[1]Hugst!$R$4:$W$4,0))))</f>
        <v>3568.5951213049907</v>
      </c>
      <c r="H28" s="168">
        <f ca="1">IF($C28-H$1&lt;År1,0,G27*(1-VLOOKUP($A28,[1]Hugst!$R$5:$W$9,MATCH(ROUNDUP((H$1)/10,0)*10,[1]Hugst!$R$4:$W$4,0))))</f>
        <v>3578.2389084397787</v>
      </c>
      <c r="I28" s="168">
        <f ca="1">IF($C28-I$1&lt;År1,0,H27*(1-VLOOKUP($A28,[1]Hugst!$R$5:$W$9,MATCH(ROUNDUP((I$1)/10,0)*10,[1]Hugst!$R$4:$W$4,0))))</f>
        <v>3587.9311568164471</v>
      </c>
      <c r="J28" s="168">
        <f ca="1">IF($C28-J$1&lt;År1,0,I27*(1-VLOOKUP($A28,[1]Hugst!$R$5:$W$9,MATCH(ROUNDUP((J$1)/10,0)*10,[1]Hugst!$R$4:$W$4,0))))</f>
        <v>3597.6721099588526</v>
      </c>
      <c r="K28" s="168">
        <f ca="1">IF($C28-K$1&lt;År1,0,J27*(1-VLOOKUP($A28,[1]Hugst!$R$5:$W$9,MATCH(ROUNDUP((K$1)/10,0)*10,[1]Hugst!$R$4:$W$4,0))))</f>
        <v>3607.4620126145514</v>
      </c>
      <c r="L28" s="168">
        <f ca="1">IF($C28-L$1&lt;År1,0,K27*(1-VLOOKUP($A28,[1]Hugst!$R$5:$W$9,MATCH(ROUNDUP((L$1)/10,0)*10,[1]Hugst!$R$4:$W$4,0))))</f>
        <v>3617.3011107609113</v>
      </c>
      <c r="M28" s="168">
        <f ca="1">IF($C28-M$1&lt;År1,0,L27*(1-VLOOKUP($A28,[1]Hugst!$R$5:$W$9,MATCH(ROUNDUP((M$1)/10,0)*10,[1]Hugst!$R$4:$W$4,0))))</f>
        <v>3627.1896516115144</v>
      </c>
      <c r="N28" s="168">
        <f ca="1">IF($C28-N$1&lt;År1,0,M27*(1-VLOOKUP($A28,[1]Hugst!$R$5:$W$9,MATCH(ROUNDUP((N$1)/10,0)*10,[1]Hugst!$R$4:$W$4,0))))</f>
        <v>3637.1278836223269</v>
      </c>
      <c r="O28" s="168">
        <f ca="1">IF($C28-O$1&lt;År1,0,N27*(1-VLOOKUP($A28,[1]Hugst!$R$5:$W$9,MATCH(ROUNDUP((O$1)/10,0)*10,[1]Hugst!$R$4:$W$4,0))))</f>
        <v>3647.1160564973457</v>
      </c>
      <c r="P28" s="168">
        <f ca="1">IF($C28-P$1&lt;År1,0,O27*(1-VLOOKUP($A28,[1]Hugst!$R$5:$W$9,MATCH(ROUNDUP((P$1)/10,0)*10,[1]Hugst!$R$4:$W$4,0))))</f>
        <v>3657.1544211959322</v>
      </c>
      <c r="Q28" s="168">
        <f ca="1">IF($C28-Q$1&lt;År1,0,P27*(1-VLOOKUP($A28,[1]Hugst!$R$5:$W$9,MATCH(ROUNDUP((Q$1)/10,0)*10,[1]Hugst!$R$4:$W$4,0))))</f>
        <v>3667.2432299382258</v>
      </c>
      <c r="R28" s="168">
        <f ca="1">IF($C28-R$1&lt;År1,0,Q27*(1-VLOOKUP($A28,[1]Hugst!$R$5:$W$9,MATCH(ROUNDUP((R$1)/10,0)*10,[1]Hugst!$R$4:$W$4,0))))</f>
        <v>3677.3827362118377</v>
      </c>
      <c r="S28" s="168">
        <f ca="1">IF($C28-S$1&lt;År1,0,R27*(1-VLOOKUP($A28,[1]Hugst!$R$5:$W$9,MATCH(ROUNDUP((S$1)/10,0)*10,[1]Hugst!$R$4:$W$4,0))))</f>
        <v>3687.573194778312</v>
      </c>
      <c r="T28" s="168">
        <f ca="1">IF($C28-T$1&lt;År1,0,S27*(1-VLOOKUP($A28,[1]Hugst!$R$5:$W$9,MATCH(ROUNDUP((T$1)/10,0)*10,[1]Hugst!$R$4:$W$4,0))))</f>
        <v>3697.8148616793537</v>
      </c>
      <c r="U28" s="168">
        <f ca="1">IF($C28-U$1&lt;År1,0,T27*(1-VLOOKUP($A28,[1]Hugst!$R$5:$W$9,MATCH(ROUNDUP((U$1)/10,0)*10,[1]Hugst!$R$4:$W$4,0))))</f>
        <v>3708.1079942430574</v>
      </c>
      <c r="V28" s="168">
        <f ca="1">IF($C28-V$1&lt;År1,0,U27*(1-VLOOKUP($A28,[1]Hugst!$R$5:$W$9,MATCH(ROUNDUP((V$1)/10,0)*10,[1]Hugst!$R$4:$W$4,0))))</f>
        <v>3718.4528510912414</v>
      </c>
      <c r="W28" s="168">
        <f ca="1">IF($C28-W$1&lt;År1,0,V27*(1-VLOOKUP($A28,[1]Hugst!$R$5:$W$9,MATCH(ROUNDUP((W$1)/10,0)*10,[1]Hugst!$R$4:$W$4,0))))</f>
        <v>3728.8496921444521</v>
      </c>
      <c r="X28" s="168">
        <f ca="1">IF($C28-X$1&lt;År1,0,W27*(1-VLOOKUP($A28,[1]Hugst!$R$5:$W$9,MATCH(ROUNDUP((X$1)/10,0)*10,[1]Hugst!$R$4:$W$4,0))))</f>
        <v>3739.2987786302901</v>
      </c>
      <c r="Y28" s="168">
        <f ca="1">IF($C28-Y$1&lt;År1,0,X27*(1-VLOOKUP($A28,[1]Hugst!$R$5:$W$9,MATCH(ROUNDUP((Y$1)/10,0)*10,[1]Hugst!$R$4:$W$4,0))))</f>
        <v>3749.8003730882983</v>
      </c>
      <c r="Z28" s="168">
        <f ca="1">IF($C28-Z$1&lt;År1,0,Y27*(1-VLOOKUP($A28,[1]Hugst!$R$5:$W$9,MATCH(ROUNDUP((Z$1)/10,0)*10,[1]Hugst!$R$4:$W$4,0))))</f>
        <v>3760.3547393777617</v>
      </c>
      <c r="AA28" s="168">
        <f ca="1">IF($C28-AA$1&lt;År1,0,Z27*(1-VLOOKUP($A28,[1]Hugst!$R$5:$W$9,MATCH(ROUNDUP((AA$1)/10,0)*10,[1]Hugst!$R$4:$W$4,0))))</f>
        <v>3770.9621426837612</v>
      </c>
      <c r="AB28" s="168">
        <f ca="1">IF($C28-AB$1&lt;År1,0,AA27*(1-VLOOKUP($A28,[1]Hugst!$R$5:$W$9,MATCH(ROUNDUP((AB$1)/10,0)*10,[1]Hugst!$R$4:$W$4,0))))</f>
        <v>3781.6228495239839</v>
      </c>
      <c r="AC28" s="168">
        <f ca="1">IF($C28-AC$1&lt;År1,0,AB27*(1-VLOOKUP($A28,[1]Hugst!$R$5:$W$9,MATCH(ROUNDUP((AC$1)/10,0)*10,[1]Hugst!$R$4:$W$4,0))))</f>
        <v>3792.3371277553588</v>
      </c>
      <c r="AD28" s="168">
        <f ca="1">IF($C28-AD$1&lt;År1,0,AC27*(1-VLOOKUP($A28,[1]Hugst!$R$5:$W$9,MATCH(ROUNDUP((AD$1)/10,0)*10,[1]Hugst!$R$4:$W$4,0))))</f>
        <v>3803.1052465808671</v>
      </c>
      <c r="AE28" s="168">
        <f ca="1">IF($C28-AE$1&lt;År1,0,AD27*(1-VLOOKUP($A28,[1]Hugst!$R$5:$W$9,MATCH(ROUNDUP((AE$1)/10,0)*10,[1]Hugst!$R$4:$W$4,0))))</f>
        <v>3813.9274765561777</v>
      </c>
      <c r="AF28" s="168">
        <f ca="1">IF($C28-AF$1&lt;År1,0,AE27*(1-VLOOKUP($A28,[1]Hugst!$R$5:$W$9,MATCH(ROUNDUP((AF$1)/10,0)*10,[1]Hugst!$R$4:$W$4,0))))</f>
        <v>3824.804089596807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*VLOOKUP(A29,Skovbrug!$A$13:$D$17,IF('Skovbrug-alder'!C29&lt;=År2,3,4),FALSE)-IF(C29&gt;2020,SUM(INDEX($C$1:$D$311,MATCH(1,(2020=$C$1:$C$311)*(B29=$B$1:$B$311)*(A29=$A$1:$A$311),0),2):D28),0))</f>
        <v>1899.9704812662094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3549.4519627476898</v>
      </c>
      <c r="G29" s="168">
        <f ca="1">IF($C29-G$1&lt;År1,0,F28*(1-VLOOKUP($A29,[1]Hugst!$R$5:$W$9,MATCH(ROUNDUP((G$1)/10,0)*10,[1]Hugst!$R$4:$W$4,0))))</f>
        <v>3558.9995531059308</v>
      </c>
      <c r="H29" s="168">
        <f ca="1">IF($C29-H$1&lt;År1,0,G28*(1-VLOOKUP($A29,[1]Hugst!$R$5:$W$9,MATCH(ROUNDUP((H$1)/10,0)*10,[1]Hugst!$R$4:$W$4,0))))</f>
        <v>3568.5951213049907</v>
      </c>
      <c r="I29" s="168">
        <f ca="1">IF($C29-I$1&lt;År1,0,H28*(1-VLOOKUP($A29,[1]Hugst!$R$5:$W$9,MATCH(ROUNDUP((I$1)/10,0)*10,[1]Hugst!$R$4:$W$4,0))))</f>
        <v>3578.2389084397787</v>
      </c>
      <c r="J29" s="168">
        <f ca="1">IF($C29-J$1&lt;År1,0,I28*(1-VLOOKUP($A29,[1]Hugst!$R$5:$W$9,MATCH(ROUNDUP((J$1)/10,0)*10,[1]Hugst!$R$4:$W$4,0))))</f>
        <v>3587.9311568164471</v>
      </c>
      <c r="K29" s="168">
        <f ca="1">IF($C29-K$1&lt;År1,0,J28*(1-VLOOKUP($A29,[1]Hugst!$R$5:$W$9,MATCH(ROUNDUP((K$1)/10,0)*10,[1]Hugst!$R$4:$W$4,0))))</f>
        <v>3597.6721099588526</v>
      </c>
      <c r="L29" s="168">
        <f ca="1">IF($C29-L$1&lt;År1,0,K28*(1-VLOOKUP($A29,[1]Hugst!$R$5:$W$9,MATCH(ROUNDUP((L$1)/10,0)*10,[1]Hugst!$R$4:$W$4,0))))</f>
        <v>3607.4620126145514</v>
      </c>
      <c r="M29" s="168">
        <f ca="1">IF($C29-M$1&lt;År1,0,L28*(1-VLOOKUP($A29,[1]Hugst!$R$5:$W$9,MATCH(ROUNDUP((M$1)/10,0)*10,[1]Hugst!$R$4:$W$4,0))))</f>
        <v>3617.3011107609113</v>
      </c>
      <c r="N29" s="168">
        <f ca="1">IF($C29-N$1&lt;År1,0,M28*(1-VLOOKUP($A29,[1]Hugst!$R$5:$W$9,MATCH(ROUNDUP((N$1)/10,0)*10,[1]Hugst!$R$4:$W$4,0))))</f>
        <v>3627.1896516115144</v>
      </c>
      <c r="O29" s="168">
        <f ca="1">IF($C29-O$1&lt;År1,0,N28*(1-VLOOKUP($A29,[1]Hugst!$R$5:$W$9,MATCH(ROUNDUP((O$1)/10,0)*10,[1]Hugst!$R$4:$W$4,0))))</f>
        <v>3637.1278836223269</v>
      </c>
      <c r="P29" s="168">
        <f ca="1">IF($C29-P$1&lt;År1,0,O28*(1-VLOOKUP($A29,[1]Hugst!$R$5:$W$9,MATCH(ROUNDUP((P$1)/10,0)*10,[1]Hugst!$R$4:$W$4,0))))</f>
        <v>3647.1160564973457</v>
      </c>
      <c r="Q29" s="168">
        <f ca="1">IF($C29-Q$1&lt;År1,0,P28*(1-VLOOKUP($A29,[1]Hugst!$R$5:$W$9,MATCH(ROUNDUP((Q$1)/10,0)*10,[1]Hugst!$R$4:$W$4,0))))</f>
        <v>3657.1544211959322</v>
      </c>
      <c r="R29" s="168">
        <f ca="1">IF($C29-R$1&lt;År1,0,Q28*(1-VLOOKUP($A29,[1]Hugst!$R$5:$W$9,MATCH(ROUNDUP((R$1)/10,0)*10,[1]Hugst!$R$4:$W$4,0))))</f>
        <v>3667.2432299382258</v>
      </c>
      <c r="S29" s="168">
        <f ca="1">IF($C29-S$1&lt;År1,0,R28*(1-VLOOKUP($A29,[1]Hugst!$R$5:$W$9,MATCH(ROUNDUP((S$1)/10,0)*10,[1]Hugst!$R$4:$W$4,0))))</f>
        <v>3677.3827362118377</v>
      </c>
      <c r="T29" s="168">
        <f ca="1">IF($C29-T$1&lt;År1,0,S28*(1-VLOOKUP($A29,[1]Hugst!$R$5:$W$9,MATCH(ROUNDUP((T$1)/10,0)*10,[1]Hugst!$R$4:$W$4,0))))</f>
        <v>3687.573194778312</v>
      </c>
      <c r="U29" s="168">
        <f ca="1">IF($C29-U$1&lt;År1,0,T28*(1-VLOOKUP($A29,[1]Hugst!$R$5:$W$9,MATCH(ROUNDUP((U$1)/10,0)*10,[1]Hugst!$R$4:$W$4,0))))</f>
        <v>3697.8148616793537</v>
      </c>
      <c r="V29" s="168">
        <f ca="1">IF($C29-V$1&lt;År1,0,U28*(1-VLOOKUP($A29,[1]Hugst!$R$5:$W$9,MATCH(ROUNDUP((V$1)/10,0)*10,[1]Hugst!$R$4:$W$4,0))))</f>
        <v>3708.1079942430574</v>
      </c>
      <c r="W29" s="168">
        <f ca="1">IF($C29-W$1&lt;År1,0,V28*(1-VLOOKUP($A29,[1]Hugst!$R$5:$W$9,MATCH(ROUNDUP((W$1)/10,0)*10,[1]Hugst!$R$4:$W$4,0))))</f>
        <v>3718.4528510912414</v>
      </c>
      <c r="X29" s="168">
        <f ca="1">IF($C29-X$1&lt;År1,0,W28*(1-VLOOKUP($A29,[1]Hugst!$R$5:$W$9,MATCH(ROUNDUP((X$1)/10,0)*10,[1]Hugst!$R$4:$W$4,0))))</f>
        <v>3728.8496921444521</v>
      </c>
      <c r="Y29" s="168">
        <f ca="1">IF($C29-Y$1&lt;År1,0,X28*(1-VLOOKUP($A29,[1]Hugst!$R$5:$W$9,MATCH(ROUNDUP((Y$1)/10,0)*10,[1]Hugst!$R$4:$W$4,0))))</f>
        <v>3739.2987786302901</v>
      </c>
      <c r="Z29" s="168">
        <f ca="1">IF($C29-Z$1&lt;År1,0,Y28*(1-VLOOKUP($A29,[1]Hugst!$R$5:$W$9,MATCH(ROUNDUP((Z$1)/10,0)*10,[1]Hugst!$R$4:$W$4,0))))</f>
        <v>3749.8003730882983</v>
      </c>
      <c r="AA29" s="168">
        <f ca="1">IF($C29-AA$1&lt;År1,0,Z28*(1-VLOOKUP($A29,[1]Hugst!$R$5:$W$9,MATCH(ROUNDUP((AA$1)/10,0)*10,[1]Hugst!$R$4:$W$4,0))))</f>
        <v>3760.3547393777617</v>
      </c>
      <c r="AB29" s="168">
        <f ca="1">IF($C29-AB$1&lt;År1,0,AA28*(1-VLOOKUP($A29,[1]Hugst!$R$5:$W$9,MATCH(ROUNDUP((AB$1)/10,0)*10,[1]Hugst!$R$4:$W$4,0))))</f>
        <v>3770.9621426837612</v>
      </c>
      <c r="AC29" s="168">
        <f ca="1">IF($C29-AC$1&lt;År1,0,AB28*(1-VLOOKUP($A29,[1]Hugst!$R$5:$W$9,MATCH(ROUNDUP((AC$1)/10,0)*10,[1]Hugst!$R$4:$W$4,0))))</f>
        <v>3781.6228495239839</v>
      </c>
      <c r="AD29" s="168">
        <f ca="1">IF($C29-AD$1&lt;År1,0,AC28*(1-VLOOKUP($A29,[1]Hugst!$R$5:$W$9,MATCH(ROUNDUP((AD$1)/10,0)*10,[1]Hugst!$R$4:$W$4,0))))</f>
        <v>3792.3371277553588</v>
      </c>
      <c r="AE29" s="168">
        <f ca="1">IF($C29-AE$1&lt;År1,0,AD28*(1-VLOOKUP($A29,[1]Hugst!$R$5:$W$9,MATCH(ROUNDUP((AE$1)/10,0)*10,[1]Hugst!$R$4:$W$4,0))))</f>
        <v>3803.1052465808671</v>
      </c>
      <c r="AF29" s="168">
        <f ca="1">IF($C29-AF$1&lt;År1,0,AE28*(1-VLOOKUP($A29,[1]Hugst!$R$5:$W$9,MATCH(ROUNDUP((AF$1)/10,0)*10,[1]Hugst!$R$4:$W$4,0))))</f>
        <v>3813.9274765561777</v>
      </c>
      <c r="AG29" s="168">
        <f ca="1">IF($C29-AG$1&lt;År1,0,AF28*(1-VLOOKUP($A29,[1]Hugst!$R$5:$W$9,MATCH(ROUNDUP((AG$1)/10,0)*10,[1]Hugst!$R$4:$W$4,0))))</f>
        <v>3824.804089596807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*VLOOKUP(A30,Skovbrug!$A$13:$D$17,IF('Skovbrug-alder'!C30&lt;=År2,3,4),FALSE)-IF(C30&gt;2020,SUM(INDEX($C$1:$D$311,MATCH(1,(2020=$C$1:$C$311)*(B30=$B$1:$B$311)*(A30=$A$1:$A$311),0),2):D29),0))</f>
        <v>1890.4706288599409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3539.9521103414213</v>
      </c>
      <c r="G30" s="168">
        <f ca="1">IF($C30-G$1&lt;År1,0,F29*(1-VLOOKUP($A30,[1]Hugst!$R$5:$W$9,MATCH(ROUNDUP((G$1)/10,0)*10,[1]Hugst!$R$4:$W$4,0))))</f>
        <v>3549.4519627476898</v>
      </c>
      <c r="H30" s="168">
        <f ca="1">IF($C30-H$1&lt;År1,0,G29*(1-VLOOKUP($A30,[1]Hugst!$R$5:$W$9,MATCH(ROUNDUP((H$1)/10,0)*10,[1]Hugst!$R$4:$W$4,0))))</f>
        <v>3558.9995531059308</v>
      </c>
      <c r="I30" s="168">
        <f ca="1">IF($C30-I$1&lt;År1,0,H29*(1-VLOOKUP($A30,[1]Hugst!$R$5:$W$9,MATCH(ROUNDUP((I$1)/10,0)*10,[1]Hugst!$R$4:$W$4,0))))</f>
        <v>3568.5951213049907</v>
      </c>
      <c r="J30" s="168">
        <f ca="1">IF($C30-J$1&lt;År1,0,I29*(1-VLOOKUP($A30,[1]Hugst!$R$5:$W$9,MATCH(ROUNDUP((J$1)/10,0)*10,[1]Hugst!$R$4:$W$4,0))))</f>
        <v>3578.2389084397787</v>
      </c>
      <c r="K30" s="168">
        <f ca="1">IF($C30-K$1&lt;År1,0,J29*(1-VLOOKUP($A30,[1]Hugst!$R$5:$W$9,MATCH(ROUNDUP((K$1)/10,0)*10,[1]Hugst!$R$4:$W$4,0))))</f>
        <v>3587.9311568164471</v>
      </c>
      <c r="L30" s="168">
        <f ca="1">IF($C30-L$1&lt;År1,0,K29*(1-VLOOKUP($A30,[1]Hugst!$R$5:$W$9,MATCH(ROUNDUP((L$1)/10,0)*10,[1]Hugst!$R$4:$W$4,0))))</f>
        <v>3597.6721099588526</v>
      </c>
      <c r="M30" s="168">
        <f ca="1">IF($C30-M$1&lt;År1,0,L29*(1-VLOOKUP($A30,[1]Hugst!$R$5:$W$9,MATCH(ROUNDUP((M$1)/10,0)*10,[1]Hugst!$R$4:$W$4,0))))</f>
        <v>3607.4620126145514</v>
      </c>
      <c r="N30" s="168">
        <f ca="1">IF($C30-N$1&lt;År1,0,M29*(1-VLOOKUP($A30,[1]Hugst!$R$5:$W$9,MATCH(ROUNDUP((N$1)/10,0)*10,[1]Hugst!$R$4:$W$4,0))))</f>
        <v>3617.3011107609113</v>
      </c>
      <c r="O30" s="168">
        <f ca="1">IF($C30-O$1&lt;År1,0,N29*(1-VLOOKUP($A30,[1]Hugst!$R$5:$W$9,MATCH(ROUNDUP((O$1)/10,0)*10,[1]Hugst!$R$4:$W$4,0))))</f>
        <v>3627.1896516115144</v>
      </c>
      <c r="P30" s="168">
        <f ca="1">IF($C30-P$1&lt;År1,0,O29*(1-VLOOKUP($A30,[1]Hugst!$R$5:$W$9,MATCH(ROUNDUP((P$1)/10,0)*10,[1]Hugst!$R$4:$W$4,0))))</f>
        <v>3637.1278836223269</v>
      </c>
      <c r="Q30" s="168">
        <f ca="1">IF($C30-Q$1&lt;År1,0,P29*(1-VLOOKUP($A30,[1]Hugst!$R$5:$W$9,MATCH(ROUNDUP((Q$1)/10,0)*10,[1]Hugst!$R$4:$W$4,0))))</f>
        <v>3647.1160564973457</v>
      </c>
      <c r="R30" s="168">
        <f ca="1">IF($C30-R$1&lt;År1,0,Q29*(1-VLOOKUP($A30,[1]Hugst!$R$5:$W$9,MATCH(ROUNDUP((R$1)/10,0)*10,[1]Hugst!$R$4:$W$4,0))))</f>
        <v>3657.1544211959322</v>
      </c>
      <c r="S30" s="168">
        <f ca="1">IF($C30-S$1&lt;År1,0,R29*(1-VLOOKUP($A30,[1]Hugst!$R$5:$W$9,MATCH(ROUNDUP((S$1)/10,0)*10,[1]Hugst!$R$4:$W$4,0))))</f>
        <v>3667.2432299382258</v>
      </c>
      <c r="T30" s="168">
        <f ca="1">IF($C30-T$1&lt;År1,0,S29*(1-VLOOKUP($A30,[1]Hugst!$R$5:$W$9,MATCH(ROUNDUP((T$1)/10,0)*10,[1]Hugst!$R$4:$W$4,0))))</f>
        <v>3677.3827362118377</v>
      </c>
      <c r="U30" s="168">
        <f ca="1">IF($C30-U$1&lt;År1,0,T29*(1-VLOOKUP($A30,[1]Hugst!$R$5:$W$9,MATCH(ROUNDUP((U$1)/10,0)*10,[1]Hugst!$R$4:$W$4,0))))</f>
        <v>3687.573194778312</v>
      </c>
      <c r="V30" s="168">
        <f ca="1">IF($C30-V$1&lt;År1,0,U29*(1-VLOOKUP($A30,[1]Hugst!$R$5:$W$9,MATCH(ROUNDUP((V$1)/10,0)*10,[1]Hugst!$R$4:$W$4,0))))</f>
        <v>3697.8148616793537</v>
      </c>
      <c r="W30" s="168">
        <f ca="1">IF($C30-W$1&lt;År1,0,V29*(1-VLOOKUP($A30,[1]Hugst!$R$5:$W$9,MATCH(ROUNDUP((W$1)/10,0)*10,[1]Hugst!$R$4:$W$4,0))))</f>
        <v>3708.1079942430574</v>
      </c>
      <c r="X30" s="168">
        <f ca="1">IF($C30-X$1&lt;År1,0,W29*(1-VLOOKUP($A30,[1]Hugst!$R$5:$W$9,MATCH(ROUNDUP((X$1)/10,0)*10,[1]Hugst!$R$4:$W$4,0))))</f>
        <v>3718.4528510912414</v>
      </c>
      <c r="Y30" s="168">
        <f ca="1">IF($C30-Y$1&lt;År1,0,X29*(1-VLOOKUP($A30,[1]Hugst!$R$5:$W$9,MATCH(ROUNDUP((Y$1)/10,0)*10,[1]Hugst!$R$4:$W$4,0))))</f>
        <v>3728.8496921444521</v>
      </c>
      <c r="Z30" s="168">
        <f ca="1">IF($C30-Z$1&lt;År1,0,Y29*(1-VLOOKUP($A30,[1]Hugst!$R$5:$W$9,MATCH(ROUNDUP((Z$1)/10,0)*10,[1]Hugst!$R$4:$W$4,0))))</f>
        <v>3739.2987786302901</v>
      </c>
      <c r="AA30" s="168">
        <f ca="1">IF($C30-AA$1&lt;År1,0,Z29*(1-VLOOKUP($A30,[1]Hugst!$R$5:$W$9,MATCH(ROUNDUP((AA$1)/10,0)*10,[1]Hugst!$R$4:$W$4,0))))</f>
        <v>3749.8003730882983</v>
      </c>
      <c r="AB30" s="168">
        <f ca="1">IF($C30-AB$1&lt;År1,0,AA29*(1-VLOOKUP($A30,[1]Hugst!$R$5:$W$9,MATCH(ROUNDUP((AB$1)/10,0)*10,[1]Hugst!$R$4:$W$4,0))))</f>
        <v>3760.3547393777617</v>
      </c>
      <c r="AC30" s="168">
        <f ca="1">IF($C30-AC$1&lt;År1,0,AB29*(1-VLOOKUP($A30,[1]Hugst!$R$5:$W$9,MATCH(ROUNDUP((AC$1)/10,0)*10,[1]Hugst!$R$4:$W$4,0))))</f>
        <v>3770.9621426837612</v>
      </c>
      <c r="AD30" s="168">
        <f ca="1">IF($C30-AD$1&lt;År1,0,AC29*(1-VLOOKUP($A30,[1]Hugst!$R$5:$W$9,MATCH(ROUNDUP((AD$1)/10,0)*10,[1]Hugst!$R$4:$W$4,0))))</f>
        <v>3781.6228495239839</v>
      </c>
      <c r="AE30" s="168">
        <f ca="1">IF($C30-AE$1&lt;År1,0,AD29*(1-VLOOKUP($A30,[1]Hugst!$R$5:$W$9,MATCH(ROUNDUP((AE$1)/10,0)*10,[1]Hugst!$R$4:$W$4,0))))</f>
        <v>3792.3371277553588</v>
      </c>
      <c r="AF30" s="168">
        <f ca="1">IF($C30-AF$1&lt;År1,0,AE29*(1-VLOOKUP($A30,[1]Hugst!$R$5:$W$9,MATCH(ROUNDUP((AF$1)/10,0)*10,[1]Hugst!$R$4:$W$4,0))))</f>
        <v>3803.1052465808671</v>
      </c>
      <c r="AG30" s="168">
        <f ca="1">IF($C30-AG$1&lt;År1,0,AF29*(1-VLOOKUP($A30,[1]Hugst!$R$5:$W$9,MATCH(ROUNDUP((AG$1)/10,0)*10,[1]Hugst!$R$4:$W$4,0))))</f>
        <v>3813.9274765561777</v>
      </c>
      <c r="AH30" s="168">
        <f ca="1">IF($C30-AH$1&lt;År1,0,AG29*(1-VLOOKUP($A30,[1]Hugst!$R$5:$W$9,MATCH(ROUNDUP((AH$1)/10,0)*10,[1]Hugst!$R$4:$W$4,0))))</f>
        <v>3824.804089596807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*VLOOKUP(A31,Skovbrug!$A$13:$D$17,IF('Skovbrug-alder'!C31&lt;=År2,3,4),FALSE)-IF(C31&gt;2020,SUM(INDEX($C$1:$D$311,MATCH(1,(2020=$C$1:$C$311)*(B31=$B$1:$B$311)*(A31=$A$1:$A$311),0),2):D30),0))</f>
        <v>1881.0182757156435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3530.4997571971239</v>
      </c>
      <c r="G31" s="168">
        <f ca="1">IF($C31-G$1&lt;År1,0,F30*(1-VLOOKUP($A31,[1]Hugst!$R$5:$W$9,MATCH(ROUNDUP((G$1)/10,0)*10,[1]Hugst!$R$4:$W$4,0))))</f>
        <v>3539.9521103414213</v>
      </c>
      <c r="H31" s="168">
        <f ca="1">IF($C31-H$1&lt;År1,0,G30*(1-VLOOKUP($A31,[1]Hugst!$R$5:$W$9,MATCH(ROUNDUP((H$1)/10,0)*10,[1]Hugst!$R$4:$W$4,0))))</f>
        <v>3549.4519627476898</v>
      </c>
      <c r="I31" s="168">
        <f ca="1">IF($C31-I$1&lt;År1,0,H30*(1-VLOOKUP($A31,[1]Hugst!$R$5:$W$9,MATCH(ROUNDUP((I$1)/10,0)*10,[1]Hugst!$R$4:$W$4,0))))</f>
        <v>3558.9995531059308</v>
      </c>
      <c r="J31" s="168">
        <f ca="1">IF($C31-J$1&lt;År1,0,I30*(1-VLOOKUP($A31,[1]Hugst!$R$5:$W$9,MATCH(ROUNDUP((J$1)/10,0)*10,[1]Hugst!$R$4:$W$4,0))))</f>
        <v>3568.5951213049907</v>
      </c>
      <c r="K31" s="168">
        <f ca="1">IF($C31-K$1&lt;År1,0,J30*(1-VLOOKUP($A31,[1]Hugst!$R$5:$W$9,MATCH(ROUNDUP((K$1)/10,0)*10,[1]Hugst!$R$4:$W$4,0))))</f>
        <v>3578.2389084397787</v>
      </c>
      <c r="L31" s="168">
        <f ca="1">IF($C31-L$1&lt;År1,0,K30*(1-VLOOKUP($A31,[1]Hugst!$R$5:$W$9,MATCH(ROUNDUP((L$1)/10,0)*10,[1]Hugst!$R$4:$W$4,0))))</f>
        <v>3587.9311568164471</v>
      </c>
      <c r="M31" s="168">
        <f ca="1">IF($C31-M$1&lt;År1,0,L30*(1-VLOOKUP($A31,[1]Hugst!$R$5:$W$9,MATCH(ROUNDUP((M$1)/10,0)*10,[1]Hugst!$R$4:$W$4,0))))</f>
        <v>3597.6721099588526</v>
      </c>
      <c r="N31" s="168">
        <f ca="1">IF($C31-N$1&lt;År1,0,M30*(1-VLOOKUP($A31,[1]Hugst!$R$5:$W$9,MATCH(ROUNDUP((N$1)/10,0)*10,[1]Hugst!$R$4:$W$4,0))))</f>
        <v>3607.4620126145514</v>
      </c>
      <c r="O31" s="168">
        <f ca="1">IF($C31-O$1&lt;År1,0,N30*(1-VLOOKUP($A31,[1]Hugst!$R$5:$W$9,MATCH(ROUNDUP((O$1)/10,0)*10,[1]Hugst!$R$4:$W$4,0))))</f>
        <v>3617.3011107609113</v>
      </c>
      <c r="P31" s="168">
        <f ca="1">IF($C31-P$1&lt;År1,0,O30*(1-VLOOKUP($A31,[1]Hugst!$R$5:$W$9,MATCH(ROUNDUP((P$1)/10,0)*10,[1]Hugst!$R$4:$W$4,0))))</f>
        <v>3627.1896516115144</v>
      </c>
      <c r="Q31" s="168">
        <f ca="1">IF($C31-Q$1&lt;År1,0,P30*(1-VLOOKUP($A31,[1]Hugst!$R$5:$W$9,MATCH(ROUNDUP((Q$1)/10,0)*10,[1]Hugst!$R$4:$W$4,0))))</f>
        <v>3637.1278836223269</v>
      </c>
      <c r="R31" s="168">
        <f ca="1">IF($C31-R$1&lt;År1,0,Q30*(1-VLOOKUP($A31,[1]Hugst!$R$5:$W$9,MATCH(ROUNDUP((R$1)/10,0)*10,[1]Hugst!$R$4:$W$4,0))))</f>
        <v>3647.1160564973457</v>
      </c>
      <c r="S31" s="168">
        <f ca="1">IF($C31-S$1&lt;År1,0,R30*(1-VLOOKUP($A31,[1]Hugst!$R$5:$W$9,MATCH(ROUNDUP((S$1)/10,0)*10,[1]Hugst!$R$4:$W$4,0))))</f>
        <v>3657.1544211959322</v>
      </c>
      <c r="T31" s="168">
        <f ca="1">IF($C31-T$1&lt;År1,0,S30*(1-VLOOKUP($A31,[1]Hugst!$R$5:$W$9,MATCH(ROUNDUP((T$1)/10,0)*10,[1]Hugst!$R$4:$W$4,0))))</f>
        <v>3667.2432299382258</v>
      </c>
      <c r="U31" s="168">
        <f ca="1">IF($C31-U$1&lt;År1,0,T30*(1-VLOOKUP($A31,[1]Hugst!$R$5:$W$9,MATCH(ROUNDUP((U$1)/10,0)*10,[1]Hugst!$R$4:$W$4,0))))</f>
        <v>3677.3827362118377</v>
      </c>
      <c r="V31" s="168">
        <f ca="1">IF($C31-V$1&lt;År1,0,U30*(1-VLOOKUP($A31,[1]Hugst!$R$5:$W$9,MATCH(ROUNDUP((V$1)/10,0)*10,[1]Hugst!$R$4:$W$4,0))))</f>
        <v>3687.573194778312</v>
      </c>
      <c r="W31" s="168">
        <f ca="1">IF($C31-W$1&lt;År1,0,V30*(1-VLOOKUP($A31,[1]Hugst!$R$5:$W$9,MATCH(ROUNDUP((W$1)/10,0)*10,[1]Hugst!$R$4:$W$4,0))))</f>
        <v>3697.8148616793537</v>
      </c>
      <c r="X31" s="168">
        <f ca="1">IF($C31-X$1&lt;År1,0,W30*(1-VLOOKUP($A31,[1]Hugst!$R$5:$W$9,MATCH(ROUNDUP((X$1)/10,0)*10,[1]Hugst!$R$4:$W$4,0))))</f>
        <v>3708.1079942430574</v>
      </c>
      <c r="Y31" s="168">
        <f ca="1">IF($C31-Y$1&lt;År1,0,X30*(1-VLOOKUP($A31,[1]Hugst!$R$5:$W$9,MATCH(ROUNDUP((Y$1)/10,0)*10,[1]Hugst!$R$4:$W$4,0))))</f>
        <v>3718.4528510912414</v>
      </c>
      <c r="Z31" s="168">
        <f ca="1">IF($C31-Z$1&lt;År1,0,Y30*(1-VLOOKUP($A31,[1]Hugst!$R$5:$W$9,MATCH(ROUNDUP((Z$1)/10,0)*10,[1]Hugst!$R$4:$W$4,0))))</f>
        <v>3728.8496921444521</v>
      </c>
      <c r="AA31" s="168">
        <f ca="1">IF($C31-AA$1&lt;År1,0,Z30*(1-VLOOKUP($A31,[1]Hugst!$R$5:$W$9,MATCH(ROUNDUP((AA$1)/10,0)*10,[1]Hugst!$R$4:$W$4,0))))</f>
        <v>3739.2987786302901</v>
      </c>
      <c r="AB31" s="168">
        <f ca="1">IF($C31-AB$1&lt;År1,0,AA30*(1-VLOOKUP($A31,[1]Hugst!$R$5:$W$9,MATCH(ROUNDUP((AB$1)/10,0)*10,[1]Hugst!$R$4:$W$4,0))))</f>
        <v>3749.8003730882983</v>
      </c>
      <c r="AC31" s="168">
        <f ca="1">IF($C31-AC$1&lt;År1,0,AB30*(1-VLOOKUP($A31,[1]Hugst!$R$5:$W$9,MATCH(ROUNDUP((AC$1)/10,0)*10,[1]Hugst!$R$4:$W$4,0))))</f>
        <v>3760.3547393777617</v>
      </c>
      <c r="AD31" s="168">
        <f ca="1">IF($C31-AD$1&lt;År1,0,AC30*(1-VLOOKUP($A31,[1]Hugst!$R$5:$W$9,MATCH(ROUNDUP((AD$1)/10,0)*10,[1]Hugst!$R$4:$W$4,0))))</f>
        <v>3770.9621426837612</v>
      </c>
      <c r="AE31" s="168">
        <f ca="1">IF($C31-AE$1&lt;År1,0,AD30*(1-VLOOKUP($A31,[1]Hugst!$R$5:$W$9,MATCH(ROUNDUP((AE$1)/10,0)*10,[1]Hugst!$R$4:$W$4,0))))</f>
        <v>3781.6228495239839</v>
      </c>
      <c r="AF31" s="168">
        <f ca="1">IF($C31-AF$1&lt;År1,0,AE30*(1-VLOOKUP($A31,[1]Hugst!$R$5:$W$9,MATCH(ROUNDUP((AF$1)/10,0)*10,[1]Hugst!$R$4:$W$4,0))))</f>
        <v>3792.3371277553588</v>
      </c>
      <c r="AG31" s="168">
        <f ca="1">IF($C31-AG$1&lt;År1,0,AF30*(1-VLOOKUP($A31,[1]Hugst!$R$5:$W$9,MATCH(ROUNDUP((AG$1)/10,0)*10,[1]Hugst!$R$4:$W$4,0))))</f>
        <v>3803.1052465808671</v>
      </c>
      <c r="AH31" s="168">
        <f ca="1">IF($C31-AH$1&lt;År1,0,AG30*(1-VLOOKUP($A31,[1]Hugst!$R$5:$W$9,MATCH(ROUNDUP((AH$1)/10,0)*10,[1]Hugst!$R$4:$W$4,0))))</f>
        <v>3813.9274765561777</v>
      </c>
      <c r="AI31" s="168">
        <f ca="1">IF($C31-AI$1&lt;År1,0,AH30*(1-VLOOKUP($A31,[1]Hugst!$R$5:$W$9,MATCH(ROUNDUP((AI$1)/10,0)*10,[1]Hugst!$R$4:$W$4,0))))</f>
        <v>3824.804089596807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*VLOOKUP(A32,Skovbrug!$A$13:$D$17,IF('Skovbrug-alder'!C32&lt;=År2,3,4),FALSE)-IF(C32&gt;2020,SUM(INDEX($C$1:$D$311,MATCH(1,(2020=$C$1:$C$311)*(B32=$B$1:$B$311)*(A32=$A$1:$A$311),0),2):D31),0))</f>
        <v>1871.6131843370968</v>
      </c>
      <c r="E32" s="168">
        <f t="shared" ca="1" si="0"/>
        <v>12.613715614614193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3533.7083814331913</v>
      </c>
      <c r="G32" s="168">
        <f ca="1">IF($C32-G$1&lt;År1,0,F31*(1-VLOOKUP($A32,[1]Hugst!$R$5:$W$9,MATCH(ROUNDUP((G$1)/10,0)*10,[1]Hugst!$R$4:$W$4,0))))</f>
        <v>3530.4997571971239</v>
      </c>
      <c r="H32" s="168">
        <f ca="1">IF($C32-H$1&lt;År1,0,G31*(1-VLOOKUP($A32,[1]Hugst!$R$5:$W$9,MATCH(ROUNDUP((H$1)/10,0)*10,[1]Hugst!$R$4:$W$4,0))))</f>
        <v>3539.9521103414213</v>
      </c>
      <c r="I32" s="168">
        <f ca="1">IF($C32-I$1&lt;År1,0,H31*(1-VLOOKUP($A32,[1]Hugst!$R$5:$W$9,MATCH(ROUNDUP((I$1)/10,0)*10,[1]Hugst!$R$4:$W$4,0))))</f>
        <v>3549.4519627476898</v>
      </c>
      <c r="J32" s="168">
        <f ca="1">IF($C32-J$1&lt;År1,0,I31*(1-VLOOKUP($A32,[1]Hugst!$R$5:$W$9,MATCH(ROUNDUP((J$1)/10,0)*10,[1]Hugst!$R$4:$W$4,0))))</f>
        <v>3558.9995531059308</v>
      </c>
      <c r="K32" s="168">
        <f ca="1">IF($C32-K$1&lt;År1,0,J31*(1-VLOOKUP($A32,[1]Hugst!$R$5:$W$9,MATCH(ROUNDUP((K$1)/10,0)*10,[1]Hugst!$R$4:$W$4,0))))</f>
        <v>3568.5951213049907</v>
      </c>
      <c r="L32" s="168">
        <f ca="1">IF($C32-L$1&lt;År1,0,K31*(1-VLOOKUP($A32,[1]Hugst!$R$5:$W$9,MATCH(ROUNDUP((L$1)/10,0)*10,[1]Hugst!$R$4:$W$4,0))))</f>
        <v>3578.2389084397787</v>
      </c>
      <c r="M32" s="168">
        <f ca="1">IF($C32-M$1&lt;År1,0,L31*(1-VLOOKUP($A32,[1]Hugst!$R$5:$W$9,MATCH(ROUNDUP((M$1)/10,0)*10,[1]Hugst!$R$4:$W$4,0))))</f>
        <v>3587.9311568164471</v>
      </c>
      <c r="N32" s="168">
        <f ca="1">IF($C32-N$1&lt;År1,0,M31*(1-VLOOKUP($A32,[1]Hugst!$R$5:$W$9,MATCH(ROUNDUP((N$1)/10,0)*10,[1]Hugst!$R$4:$W$4,0))))</f>
        <v>3597.6721099588526</v>
      </c>
      <c r="O32" s="168">
        <f ca="1">IF($C32-O$1&lt;År1,0,N31*(1-VLOOKUP($A32,[1]Hugst!$R$5:$W$9,MATCH(ROUNDUP((O$1)/10,0)*10,[1]Hugst!$R$4:$W$4,0))))</f>
        <v>3607.4620126145514</v>
      </c>
      <c r="P32" s="168">
        <f ca="1">IF($C32-P$1&lt;År1,0,O31*(1-VLOOKUP($A32,[1]Hugst!$R$5:$W$9,MATCH(ROUNDUP((P$1)/10,0)*10,[1]Hugst!$R$4:$W$4,0))))</f>
        <v>3617.3011107609113</v>
      </c>
      <c r="Q32" s="168">
        <f ca="1">IF($C32-Q$1&lt;År1,0,P31*(1-VLOOKUP($A32,[1]Hugst!$R$5:$W$9,MATCH(ROUNDUP((Q$1)/10,0)*10,[1]Hugst!$R$4:$W$4,0))))</f>
        <v>3627.1896516115144</v>
      </c>
      <c r="R32" s="168">
        <f ca="1">IF($C32-R$1&lt;År1,0,Q31*(1-VLOOKUP($A32,[1]Hugst!$R$5:$W$9,MATCH(ROUNDUP((R$1)/10,0)*10,[1]Hugst!$R$4:$W$4,0))))</f>
        <v>3637.1278836223269</v>
      </c>
      <c r="S32" s="168">
        <f ca="1">IF($C32-S$1&lt;År1,0,R31*(1-VLOOKUP($A32,[1]Hugst!$R$5:$W$9,MATCH(ROUNDUP((S$1)/10,0)*10,[1]Hugst!$R$4:$W$4,0))))</f>
        <v>3647.1160564973457</v>
      </c>
      <c r="T32" s="168">
        <f ca="1">IF($C32-T$1&lt;År1,0,S31*(1-VLOOKUP($A32,[1]Hugst!$R$5:$W$9,MATCH(ROUNDUP((T$1)/10,0)*10,[1]Hugst!$R$4:$W$4,0))))</f>
        <v>3657.1544211959322</v>
      </c>
      <c r="U32" s="168">
        <f ca="1">IF($C32-U$1&lt;År1,0,T31*(1-VLOOKUP($A32,[1]Hugst!$R$5:$W$9,MATCH(ROUNDUP((U$1)/10,0)*10,[1]Hugst!$R$4:$W$4,0))))</f>
        <v>3667.2432299382258</v>
      </c>
      <c r="V32" s="168">
        <f ca="1">IF($C32-V$1&lt;År1,0,U31*(1-VLOOKUP($A32,[1]Hugst!$R$5:$W$9,MATCH(ROUNDUP((V$1)/10,0)*10,[1]Hugst!$R$4:$W$4,0))))</f>
        <v>3677.3827362118377</v>
      </c>
      <c r="W32" s="168">
        <f ca="1">IF($C32-W$1&lt;År1,0,V31*(1-VLOOKUP($A32,[1]Hugst!$R$5:$W$9,MATCH(ROUNDUP((W$1)/10,0)*10,[1]Hugst!$R$4:$W$4,0))))</f>
        <v>3687.573194778312</v>
      </c>
      <c r="X32" s="168">
        <f ca="1">IF($C32-X$1&lt;År1,0,W31*(1-VLOOKUP($A32,[1]Hugst!$R$5:$W$9,MATCH(ROUNDUP((X$1)/10,0)*10,[1]Hugst!$R$4:$W$4,0))))</f>
        <v>3697.8148616793537</v>
      </c>
      <c r="Y32" s="168">
        <f ca="1">IF($C32-Y$1&lt;År1,0,X31*(1-VLOOKUP($A32,[1]Hugst!$R$5:$W$9,MATCH(ROUNDUP((Y$1)/10,0)*10,[1]Hugst!$R$4:$W$4,0))))</f>
        <v>3708.1079942430574</v>
      </c>
      <c r="Z32" s="168">
        <f ca="1">IF($C32-Z$1&lt;År1,0,Y31*(1-VLOOKUP($A32,[1]Hugst!$R$5:$W$9,MATCH(ROUNDUP((Z$1)/10,0)*10,[1]Hugst!$R$4:$W$4,0))))</f>
        <v>3718.4528510912414</v>
      </c>
      <c r="AA32" s="168">
        <f ca="1">IF($C32-AA$1&lt;År1,0,Z31*(1-VLOOKUP($A32,[1]Hugst!$R$5:$W$9,MATCH(ROUNDUP((AA$1)/10,0)*10,[1]Hugst!$R$4:$W$4,0))))</f>
        <v>3728.8496921444521</v>
      </c>
      <c r="AB32" s="168">
        <f ca="1">IF($C32-AB$1&lt;År1,0,AA31*(1-VLOOKUP($A32,[1]Hugst!$R$5:$W$9,MATCH(ROUNDUP((AB$1)/10,0)*10,[1]Hugst!$R$4:$W$4,0))))</f>
        <v>3739.2987786302901</v>
      </c>
      <c r="AC32" s="168">
        <f ca="1">IF($C32-AC$1&lt;År1,0,AB31*(1-VLOOKUP($A32,[1]Hugst!$R$5:$W$9,MATCH(ROUNDUP((AC$1)/10,0)*10,[1]Hugst!$R$4:$W$4,0))))</f>
        <v>3749.8003730882983</v>
      </c>
      <c r="AD32" s="168">
        <f ca="1">IF($C32-AD$1&lt;År1,0,AC31*(1-VLOOKUP($A32,[1]Hugst!$R$5:$W$9,MATCH(ROUNDUP((AD$1)/10,0)*10,[1]Hugst!$R$4:$W$4,0))))</f>
        <v>3760.3547393777617</v>
      </c>
      <c r="AE32" s="168">
        <f ca="1">IF($C32-AE$1&lt;År1,0,AD31*(1-VLOOKUP($A32,[1]Hugst!$R$5:$W$9,MATCH(ROUNDUP((AE$1)/10,0)*10,[1]Hugst!$R$4:$W$4,0))))</f>
        <v>3770.9621426837612</v>
      </c>
      <c r="AF32" s="168">
        <f ca="1">IF($C32-AF$1&lt;År1,0,AE31*(1-VLOOKUP($A32,[1]Hugst!$R$5:$W$9,MATCH(ROUNDUP((AF$1)/10,0)*10,[1]Hugst!$R$4:$W$4,0))))</f>
        <v>3781.6228495239839</v>
      </c>
      <c r="AG32" s="168">
        <f ca="1">IF($C32-AG$1&lt;År1,0,AF31*(1-VLOOKUP($A32,[1]Hugst!$R$5:$W$9,MATCH(ROUNDUP((AG$1)/10,0)*10,[1]Hugst!$R$4:$W$4,0))))</f>
        <v>3792.3371277553588</v>
      </c>
      <c r="AH32" s="168">
        <f ca="1">IF($C32-AH$1&lt;År1,0,AG31*(1-VLOOKUP($A32,[1]Hugst!$R$5:$W$9,MATCH(ROUNDUP((AH$1)/10,0)*10,[1]Hugst!$R$4:$W$4,0))))</f>
        <v>3803.1052465808671</v>
      </c>
      <c r="AI32" s="168">
        <f ca="1">IF($C32-AI$1&lt;År1,0,AH31*(1-VLOOKUP($A32,[1]Hugst!$R$5:$W$9,MATCH(ROUNDUP((AI$1)/10,0)*10,[1]Hugst!$R$4:$W$4,0))))</f>
        <v>3813.9274765561777</v>
      </c>
      <c r="AJ32" s="168">
        <f ca="1">IF($C32-AJ$1&lt;År1,0,AI31*(1-VLOOKUP($A32,[1]Hugst!$R$5:$W$9,MATCH(ROUNDUP((AJ$1)/10,0)*10,[1]Hugst!$R$4:$W$4,0))))</f>
        <v>3812.1903739821792</v>
      </c>
      <c r="AL32" s="168">
        <f ca="1">SUM(F32:AJ32)</f>
        <v>113747.42386591312</v>
      </c>
    </row>
    <row r="33" spans="1:36" s="168" customFormat="1" x14ac:dyDescent="0.25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*VLOOKUP(A33,Skovbrug!$A$13:$D$17,IF('Skovbrug-alder'!C33&lt;=År2,3,4),FALSE)-IF(C33&gt;2020,SUM(INDEX($C$1:$D$311,MATCH(1,(2020=$C$1:$C$311)*(B33=$B$1:$B$311)*(A33=$A$1:$A$311),0),2):D32),0))</f>
        <v>636.72739188467676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887.24591040319569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*VLOOKUP(A34,Skovbrug!$A$13:$D$17,IF('Skovbrug-alder'!C34&lt;=År2,3,4),FALSE)-IF(C34&gt;2020,SUM(INDEX($C$1:$D$311,MATCH(1,(2020=$C$1:$C$311)*(B34=$B$1:$B$311)*(A34=$A$1:$A$311),0),2):D33),0))</f>
        <v>633.54375492525287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884.0622734437718</v>
      </c>
      <c r="G34" s="168">
        <f ca="1">IF($C34-G$1&lt;År1,0,F33*(1-VLOOKUP($A34,[1]Hugst!$R$5:$W$9,MATCH(ROUNDUP((G$1)/10,0)*10,[1]Hugst!$R$4:$W$4,0))))</f>
        <v>887.24591040319569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*VLOOKUP(A35,Skovbrug!$A$13:$D$17,IF('Skovbrug-alder'!C35&lt;=År2,3,4),FALSE)-IF(C35&gt;2020,SUM(INDEX($C$1:$D$311,MATCH(1,(2020=$C$1:$C$311)*(B35=$B$1:$B$311)*(A35=$A$1:$A$311),0),2):D34),0))</f>
        <v>630.37603615062835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880.89455466914728</v>
      </c>
      <c r="G35" s="168">
        <f ca="1">IF($C35-G$1&lt;År1,0,F34*(1-VLOOKUP($A35,[1]Hugst!$R$5:$W$9,MATCH(ROUNDUP((G$1)/10,0)*10,[1]Hugst!$R$4:$W$4,0))))</f>
        <v>884.0622734437718</v>
      </c>
      <c r="H35" s="168">
        <f ca="1">IF($C35-H$1&lt;År1,0,G34*(1-VLOOKUP($A35,[1]Hugst!$R$5:$W$9,MATCH(ROUNDUP((H$1)/10,0)*10,[1]Hugst!$R$4:$W$4,0))))</f>
        <v>887.24591040319569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*VLOOKUP(A36,Skovbrug!$A$13:$D$17,IF('Skovbrug-alder'!C36&lt;=År2,3,4),FALSE)-IF(C36&gt;2020,SUM(INDEX($C$1:$D$311,MATCH(1,(2020=$C$1:$C$311)*(B36=$B$1:$B$311)*(A36=$A$1:$A$311),0),2):D35),0))</f>
        <v>627.22415596985957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877.7426744883785</v>
      </c>
      <c r="G36" s="168">
        <f ca="1">IF($C36-G$1&lt;År1,0,F35*(1-VLOOKUP($A36,[1]Hugst!$R$5:$W$9,MATCH(ROUNDUP((G$1)/10,0)*10,[1]Hugst!$R$4:$W$4,0))))</f>
        <v>880.89455466914728</v>
      </c>
      <c r="H36" s="168">
        <f ca="1">IF($C36-H$1&lt;År1,0,G35*(1-VLOOKUP($A36,[1]Hugst!$R$5:$W$9,MATCH(ROUNDUP((H$1)/10,0)*10,[1]Hugst!$R$4:$W$4,0))))</f>
        <v>884.0622734437718</v>
      </c>
      <c r="I36" s="168">
        <f ca="1">IF($C36-I$1&lt;År1,0,H35*(1-VLOOKUP($A36,[1]Hugst!$R$5:$W$9,MATCH(ROUNDUP((I$1)/10,0)*10,[1]Hugst!$R$4:$W$4,0))))</f>
        <v>887.24591040319569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*VLOOKUP(A37,Skovbrug!$A$13:$D$17,IF('Skovbrug-alder'!C37&lt;=År2,3,4),FALSE)-IF(C37&gt;2020,SUM(INDEX($C$1:$D$311,MATCH(1,(2020=$C$1:$C$311)*(B37=$B$1:$B$311)*(A37=$A$1:$A$311),0),2):D36),0))</f>
        <v>624.08803519002686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874.60655370854579</v>
      </c>
      <c r="G37" s="168">
        <f ca="1">IF($C37-G$1&lt;År1,0,F36*(1-VLOOKUP($A37,[1]Hugst!$R$5:$W$9,MATCH(ROUNDUP((G$1)/10,0)*10,[1]Hugst!$R$4:$W$4,0))))</f>
        <v>877.7426744883785</v>
      </c>
      <c r="H37" s="168">
        <f ca="1">IF($C37-H$1&lt;År1,0,G36*(1-VLOOKUP($A37,[1]Hugst!$R$5:$W$9,MATCH(ROUNDUP((H$1)/10,0)*10,[1]Hugst!$R$4:$W$4,0))))</f>
        <v>880.89455466914728</v>
      </c>
      <c r="I37" s="168">
        <f ca="1">IF($C37-I$1&lt;År1,0,H36*(1-VLOOKUP($A37,[1]Hugst!$R$5:$W$9,MATCH(ROUNDUP((I$1)/10,0)*10,[1]Hugst!$R$4:$W$4,0))))</f>
        <v>884.0622734437718</v>
      </c>
      <c r="J37" s="168">
        <f ca="1">IF($C37-J$1&lt;År1,0,I36*(1-VLOOKUP($A37,[1]Hugst!$R$5:$W$9,MATCH(ROUNDUP((J$1)/10,0)*10,[1]Hugst!$R$4:$W$4,0))))</f>
        <v>887.24591040319569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*VLOOKUP(A38,Skovbrug!$A$13:$D$17,IF('Skovbrug-alder'!C38&lt;=År2,3,4),FALSE)-IF(C38&gt;2020,SUM(INDEX($C$1:$D$311,MATCH(1,(2020=$C$1:$C$311)*(B38=$B$1:$B$311)*(A38=$A$1:$A$311),0),2):D37),0))</f>
        <v>620.96759501406632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871.48611353258525</v>
      </c>
      <c r="G38" s="168">
        <f ca="1">IF($C38-G$1&lt;År1,0,F37*(1-VLOOKUP($A38,[1]Hugst!$R$5:$W$9,MATCH(ROUNDUP((G$1)/10,0)*10,[1]Hugst!$R$4:$W$4,0))))</f>
        <v>874.60655370854579</v>
      </c>
      <c r="H38" s="168">
        <f ca="1">IF($C38-H$1&lt;År1,0,G37*(1-VLOOKUP($A38,[1]Hugst!$R$5:$W$9,MATCH(ROUNDUP((H$1)/10,0)*10,[1]Hugst!$R$4:$W$4,0))))</f>
        <v>877.7426744883785</v>
      </c>
      <c r="I38" s="168">
        <f ca="1">IF($C38-I$1&lt;År1,0,H37*(1-VLOOKUP($A38,[1]Hugst!$R$5:$W$9,MATCH(ROUNDUP((I$1)/10,0)*10,[1]Hugst!$R$4:$W$4,0))))</f>
        <v>880.89455466914728</v>
      </c>
      <c r="J38" s="168">
        <f ca="1">IF($C38-J$1&lt;År1,0,I37*(1-VLOOKUP($A38,[1]Hugst!$R$5:$W$9,MATCH(ROUNDUP((J$1)/10,0)*10,[1]Hugst!$R$4:$W$4,0))))</f>
        <v>884.0622734437718</v>
      </c>
      <c r="K38" s="168">
        <f ca="1">IF($C38-K$1&lt;År1,0,J37*(1-VLOOKUP($A38,[1]Hugst!$R$5:$W$9,MATCH(ROUNDUP((K$1)/10,0)*10,[1]Hugst!$R$4:$W$4,0))))</f>
        <v>887.24591040319569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*VLOOKUP(A39,Skovbrug!$A$13:$D$17,IF('Skovbrug-alder'!C39&lt;=År2,3,4),FALSE)-IF(C39&gt;2020,SUM(INDEX($C$1:$D$311,MATCH(1,(2020=$C$1:$C$311)*(B39=$B$1:$B$311)*(A39=$A$1:$A$311),0),2):D38),0))</f>
        <v>617.86275703902356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868.38127555754249</v>
      </c>
      <c r="G39" s="168">
        <f ca="1">IF($C39-G$1&lt;År1,0,F38*(1-VLOOKUP($A39,[1]Hugst!$R$5:$W$9,MATCH(ROUNDUP((G$1)/10,0)*10,[1]Hugst!$R$4:$W$4,0))))</f>
        <v>871.48611353258525</v>
      </c>
      <c r="H39" s="168">
        <f ca="1">IF($C39-H$1&lt;År1,0,G38*(1-VLOOKUP($A39,[1]Hugst!$R$5:$W$9,MATCH(ROUNDUP((H$1)/10,0)*10,[1]Hugst!$R$4:$W$4,0))))</f>
        <v>874.60655370854579</v>
      </c>
      <c r="I39" s="168">
        <f ca="1">IF($C39-I$1&lt;År1,0,H38*(1-VLOOKUP($A39,[1]Hugst!$R$5:$W$9,MATCH(ROUNDUP((I$1)/10,0)*10,[1]Hugst!$R$4:$W$4,0))))</f>
        <v>877.7426744883785</v>
      </c>
      <c r="J39" s="168">
        <f ca="1">IF($C39-J$1&lt;År1,0,I38*(1-VLOOKUP($A39,[1]Hugst!$R$5:$W$9,MATCH(ROUNDUP((J$1)/10,0)*10,[1]Hugst!$R$4:$W$4,0))))</f>
        <v>880.89455466914728</v>
      </c>
      <c r="K39" s="168">
        <f ca="1">IF($C39-K$1&lt;År1,0,J38*(1-VLOOKUP($A39,[1]Hugst!$R$5:$W$9,MATCH(ROUNDUP((K$1)/10,0)*10,[1]Hugst!$R$4:$W$4,0))))</f>
        <v>884.0622734437718</v>
      </c>
      <c r="L39" s="168">
        <f ca="1">IF($C39-L$1&lt;År1,0,K38*(1-VLOOKUP($A39,[1]Hugst!$R$5:$W$9,MATCH(ROUNDUP((L$1)/10,0)*10,[1]Hugst!$R$4:$W$4,0))))</f>
        <v>887.24591040319569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*VLOOKUP(A40,Skovbrug!$A$13:$D$17,IF('Skovbrug-alder'!C40&lt;=År2,3,4),FALSE)-IF(C40&gt;2020,SUM(INDEX($C$1:$D$311,MATCH(1,(2020=$C$1:$C$311)*(B40=$B$1:$B$311)*(A40=$A$1:$A$311),0),2):D39),0))</f>
        <v>614.77344325379818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865.29196177231711</v>
      </c>
      <c r="G40" s="168">
        <f ca="1">IF($C40-G$1&lt;År1,0,F39*(1-VLOOKUP($A40,[1]Hugst!$R$5:$W$9,MATCH(ROUNDUP((G$1)/10,0)*10,[1]Hugst!$R$4:$W$4,0))))</f>
        <v>868.38127555754249</v>
      </c>
      <c r="H40" s="168">
        <f ca="1">IF($C40-H$1&lt;År1,0,G39*(1-VLOOKUP($A40,[1]Hugst!$R$5:$W$9,MATCH(ROUNDUP((H$1)/10,0)*10,[1]Hugst!$R$4:$W$4,0))))</f>
        <v>871.48611353258525</v>
      </c>
      <c r="I40" s="168">
        <f ca="1">IF($C40-I$1&lt;År1,0,H39*(1-VLOOKUP($A40,[1]Hugst!$R$5:$W$9,MATCH(ROUNDUP((I$1)/10,0)*10,[1]Hugst!$R$4:$W$4,0))))</f>
        <v>874.60655370854579</v>
      </c>
      <c r="J40" s="168">
        <f ca="1">IF($C40-J$1&lt;År1,0,I39*(1-VLOOKUP($A40,[1]Hugst!$R$5:$W$9,MATCH(ROUNDUP((J$1)/10,0)*10,[1]Hugst!$R$4:$W$4,0))))</f>
        <v>877.7426744883785</v>
      </c>
      <c r="K40" s="168">
        <f ca="1">IF($C40-K$1&lt;År1,0,J39*(1-VLOOKUP($A40,[1]Hugst!$R$5:$W$9,MATCH(ROUNDUP((K$1)/10,0)*10,[1]Hugst!$R$4:$W$4,0))))</f>
        <v>880.89455466914728</v>
      </c>
      <c r="L40" s="168">
        <f ca="1">IF($C40-L$1&lt;År1,0,K39*(1-VLOOKUP($A40,[1]Hugst!$R$5:$W$9,MATCH(ROUNDUP((L$1)/10,0)*10,[1]Hugst!$R$4:$W$4,0))))</f>
        <v>884.0622734437718</v>
      </c>
      <c r="M40" s="168">
        <f ca="1">IF($C40-M$1&lt;År1,0,L39*(1-VLOOKUP($A40,[1]Hugst!$R$5:$W$9,MATCH(ROUNDUP((M$1)/10,0)*10,[1]Hugst!$R$4:$W$4,0))))</f>
        <v>887.24591040319569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*VLOOKUP(A41,Skovbrug!$A$13:$D$17,IF('Skovbrug-alder'!C41&lt;=År2,3,4),FALSE)-IF(C41&gt;2020,SUM(INDEX($C$1:$D$311,MATCH(1,(2020=$C$1:$C$311)*(B41=$B$1:$B$311)*(A41=$A$1:$A$311),0),2):D40),0))</f>
        <v>611.69957603754301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862.21809455606194</v>
      </c>
      <c r="G41" s="168">
        <f ca="1">IF($C41-G$1&lt;År1,0,F40*(1-VLOOKUP($A41,[1]Hugst!$R$5:$W$9,MATCH(ROUNDUP((G$1)/10,0)*10,[1]Hugst!$R$4:$W$4,0))))</f>
        <v>865.29196177231711</v>
      </c>
      <c r="H41" s="168">
        <f ca="1">IF($C41-H$1&lt;År1,0,G40*(1-VLOOKUP($A41,[1]Hugst!$R$5:$W$9,MATCH(ROUNDUP((H$1)/10,0)*10,[1]Hugst!$R$4:$W$4,0))))</f>
        <v>868.38127555754249</v>
      </c>
      <c r="I41" s="168">
        <f ca="1">IF($C41-I$1&lt;År1,0,H40*(1-VLOOKUP($A41,[1]Hugst!$R$5:$W$9,MATCH(ROUNDUP((I$1)/10,0)*10,[1]Hugst!$R$4:$W$4,0))))</f>
        <v>871.48611353258525</v>
      </c>
      <c r="J41" s="168">
        <f ca="1">IF($C41-J$1&lt;År1,0,I40*(1-VLOOKUP($A41,[1]Hugst!$R$5:$W$9,MATCH(ROUNDUP((J$1)/10,0)*10,[1]Hugst!$R$4:$W$4,0))))</f>
        <v>874.60655370854579</v>
      </c>
      <c r="K41" s="168">
        <f ca="1">IF($C41-K$1&lt;År1,0,J40*(1-VLOOKUP($A41,[1]Hugst!$R$5:$W$9,MATCH(ROUNDUP((K$1)/10,0)*10,[1]Hugst!$R$4:$W$4,0))))</f>
        <v>877.7426744883785</v>
      </c>
      <c r="L41" s="168">
        <f ca="1">IF($C41-L$1&lt;År1,0,K40*(1-VLOOKUP($A41,[1]Hugst!$R$5:$W$9,MATCH(ROUNDUP((L$1)/10,0)*10,[1]Hugst!$R$4:$W$4,0))))</f>
        <v>880.89455466914728</v>
      </c>
      <c r="M41" s="168">
        <f ca="1">IF($C41-M$1&lt;År1,0,L40*(1-VLOOKUP($A41,[1]Hugst!$R$5:$W$9,MATCH(ROUNDUP((M$1)/10,0)*10,[1]Hugst!$R$4:$W$4,0))))</f>
        <v>884.0622734437718</v>
      </c>
      <c r="N41" s="168">
        <f ca="1">IF($C41-N$1&lt;År1,0,M40*(1-VLOOKUP($A41,[1]Hugst!$R$5:$W$9,MATCH(ROUNDUP((N$1)/10,0)*10,[1]Hugst!$R$4:$W$4,0))))</f>
        <v>887.24591040319569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*VLOOKUP(A42,Skovbrug!$A$13:$D$17,IF('Skovbrug-alder'!C42&lt;=År2,3,4),FALSE)-IF(C42&gt;2020,SUM(INDEX($C$1:$D$311,MATCH(1,(2020=$C$1:$C$311)*(B42=$B$1:$B$311)*(A42=$A$1:$A$311),0),2):D41),0))</f>
        <v>608.64107815735042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859.15959667586935</v>
      </c>
      <c r="G42" s="168">
        <f ca="1">IF($C42-G$1&lt;År1,0,F41*(1-VLOOKUP($A42,[1]Hugst!$R$5:$W$9,MATCH(ROUNDUP((G$1)/10,0)*10,[1]Hugst!$R$4:$W$4,0))))</f>
        <v>862.21809455606194</v>
      </c>
      <c r="H42" s="168">
        <f ca="1">IF($C42-H$1&lt;År1,0,G41*(1-VLOOKUP($A42,[1]Hugst!$R$5:$W$9,MATCH(ROUNDUP((H$1)/10,0)*10,[1]Hugst!$R$4:$W$4,0))))</f>
        <v>865.29196177231711</v>
      </c>
      <c r="I42" s="168">
        <f ca="1">IF($C42-I$1&lt;År1,0,H41*(1-VLOOKUP($A42,[1]Hugst!$R$5:$W$9,MATCH(ROUNDUP((I$1)/10,0)*10,[1]Hugst!$R$4:$W$4,0))))</f>
        <v>868.38127555754249</v>
      </c>
      <c r="J42" s="168">
        <f ca="1">IF($C42-J$1&lt;År1,0,I41*(1-VLOOKUP($A42,[1]Hugst!$R$5:$W$9,MATCH(ROUNDUP((J$1)/10,0)*10,[1]Hugst!$R$4:$W$4,0))))</f>
        <v>871.48611353258525</v>
      </c>
      <c r="K42" s="168">
        <f ca="1">IF($C42-K$1&lt;År1,0,J41*(1-VLOOKUP($A42,[1]Hugst!$R$5:$W$9,MATCH(ROUNDUP((K$1)/10,0)*10,[1]Hugst!$R$4:$W$4,0))))</f>
        <v>874.60655370854579</v>
      </c>
      <c r="L42" s="168">
        <f ca="1">IF($C42-L$1&lt;År1,0,K41*(1-VLOOKUP($A42,[1]Hugst!$R$5:$W$9,MATCH(ROUNDUP((L$1)/10,0)*10,[1]Hugst!$R$4:$W$4,0))))</f>
        <v>877.7426744883785</v>
      </c>
      <c r="M42" s="168">
        <f ca="1">IF($C42-M$1&lt;År1,0,L41*(1-VLOOKUP($A42,[1]Hugst!$R$5:$W$9,MATCH(ROUNDUP((M$1)/10,0)*10,[1]Hugst!$R$4:$W$4,0))))</f>
        <v>880.89455466914728</v>
      </c>
      <c r="N42" s="168">
        <f ca="1">IF($C42-N$1&lt;År1,0,M41*(1-VLOOKUP($A42,[1]Hugst!$R$5:$W$9,MATCH(ROUNDUP((N$1)/10,0)*10,[1]Hugst!$R$4:$W$4,0))))</f>
        <v>884.0622734437718</v>
      </c>
      <c r="O42" s="168">
        <f ca="1">IF($C42-O$1&lt;År1,0,N41*(1-VLOOKUP($A42,[1]Hugst!$R$5:$W$9,MATCH(ROUNDUP((O$1)/10,0)*10,[1]Hugst!$R$4:$W$4,0))))</f>
        <v>887.24591040319569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*VLOOKUP(A43,Skovbrug!$A$13:$D$17,IF('Skovbrug-alder'!C43&lt;=År2,3,4),FALSE)-IF(C43&gt;2020,SUM(INDEX($C$1:$D$311,MATCH(1,(2020=$C$1:$C$311)*(B43=$B$1:$B$311)*(A43=$A$1:$A$311),0),2):D42),0))</f>
        <v>605.5978727665788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856.11639128509773</v>
      </c>
      <c r="G43" s="168">
        <f ca="1">IF($C43-G$1&lt;År1,0,F42*(1-VLOOKUP($A43,[1]Hugst!$R$5:$W$9,MATCH(ROUNDUP((G$1)/10,0)*10,[1]Hugst!$R$4:$W$4,0))))</f>
        <v>859.15959667586935</v>
      </c>
      <c r="H43" s="168">
        <f ca="1">IF($C43-H$1&lt;År1,0,G42*(1-VLOOKUP($A43,[1]Hugst!$R$5:$W$9,MATCH(ROUNDUP((H$1)/10,0)*10,[1]Hugst!$R$4:$W$4,0))))</f>
        <v>862.21809455606194</v>
      </c>
      <c r="I43" s="168">
        <f ca="1">IF($C43-I$1&lt;År1,0,H42*(1-VLOOKUP($A43,[1]Hugst!$R$5:$W$9,MATCH(ROUNDUP((I$1)/10,0)*10,[1]Hugst!$R$4:$W$4,0))))</f>
        <v>865.29196177231711</v>
      </c>
      <c r="J43" s="168">
        <f ca="1">IF($C43-J$1&lt;År1,0,I42*(1-VLOOKUP($A43,[1]Hugst!$R$5:$W$9,MATCH(ROUNDUP((J$1)/10,0)*10,[1]Hugst!$R$4:$W$4,0))))</f>
        <v>868.38127555754249</v>
      </c>
      <c r="K43" s="168">
        <f ca="1">IF($C43-K$1&lt;År1,0,J42*(1-VLOOKUP($A43,[1]Hugst!$R$5:$W$9,MATCH(ROUNDUP((K$1)/10,0)*10,[1]Hugst!$R$4:$W$4,0))))</f>
        <v>871.48611353258525</v>
      </c>
      <c r="L43" s="168">
        <f ca="1">IF($C43-L$1&lt;År1,0,K42*(1-VLOOKUP($A43,[1]Hugst!$R$5:$W$9,MATCH(ROUNDUP((L$1)/10,0)*10,[1]Hugst!$R$4:$W$4,0))))</f>
        <v>874.60655370854579</v>
      </c>
      <c r="M43" s="168">
        <f ca="1">IF($C43-M$1&lt;År1,0,L42*(1-VLOOKUP($A43,[1]Hugst!$R$5:$W$9,MATCH(ROUNDUP((M$1)/10,0)*10,[1]Hugst!$R$4:$W$4,0))))</f>
        <v>877.7426744883785</v>
      </c>
      <c r="N43" s="168">
        <f ca="1">IF($C43-N$1&lt;År1,0,M42*(1-VLOOKUP($A43,[1]Hugst!$R$5:$W$9,MATCH(ROUNDUP((N$1)/10,0)*10,[1]Hugst!$R$4:$W$4,0))))</f>
        <v>880.89455466914728</v>
      </c>
      <c r="O43" s="168">
        <f ca="1">IF($C43-O$1&lt;År1,0,N42*(1-VLOOKUP($A43,[1]Hugst!$R$5:$W$9,MATCH(ROUNDUP((O$1)/10,0)*10,[1]Hugst!$R$4:$W$4,0))))</f>
        <v>884.0622734437718</v>
      </c>
      <c r="P43" s="168">
        <f ca="1">IF($C43-P$1&lt;År1,0,O42*(1-VLOOKUP($A43,[1]Hugst!$R$5:$W$9,MATCH(ROUNDUP((P$1)/10,0)*10,[1]Hugst!$R$4:$W$4,0))))</f>
        <v>887.24591040319569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*VLOOKUP(A44,Skovbrug!$A$13:$D$17,IF('Skovbrug-alder'!C44&lt;=År2,3,4),FALSE)-IF(C44&gt;2020,SUM(INDEX($C$1:$D$311,MATCH(1,(2020=$C$1:$C$311)*(B44=$B$1:$B$311)*(A44=$A$1:$A$311),0),2):D43),0))</f>
        <v>602.56988340271346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853.08840192123239</v>
      </c>
      <c r="G44" s="168">
        <f ca="1">IF($C44-G$1&lt;År1,0,F43*(1-VLOOKUP($A44,[1]Hugst!$R$5:$W$9,MATCH(ROUNDUP((G$1)/10,0)*10,[1]Hugst!$R$4:$W$4,0))))</f>
        <v>856.11639128509773</v>
      </c>
      <c r="H44" s="168">
        <f ca="1">IF($C44-H$1&lt;År1,0,G43*(1-VLOOKUP($A44,[1]Hugst!$R$5:$W$9,MATCH(ROUNDUP((H$1)/10,0)*10,[1]Hugst!$R$4:$W$4,0))))</f>
        <v>859.15959667586935</v>
      </c>
      <c r="I44" s="168">
        <f ca="1">IF($C44-I$1&lt;År1,0,H43*(1-VLOOKUP($A44,[1]Hugst!$R$5:$W$9,MATCH(ROUNDUP((I$1)/10,0)*10,[1]Hugst!$R$4:$W$4,0))))</f>
        <v>862.21809455606194</v>
      </c>
      <c r="J44" s="168">
        <f ca="1">IF($C44-J$1&lt;År1,0,I43*(1-VLOOKUP($A44,[1]Hugst!$R$5:$W$9,MATCH(ROUNDUP((J$1)/10,0)*10,[1]Hugst!$R$4:$W$4,0))))</f>
        <v>865.29196177231711</v>
      </c>
      <c r="K44" s="168">
        <f ca="1">IF($C44-K$1&lt;År1,0,J43*(1-VLOOKUP($A44,[1]Hugst!$R$5:$W$9,MATCH(ROUNDUP((K$1)/10,0)*10,[1]Hugst!$R$4:$W$4,0))))</f>
        <v>868.38127555754249</v>
      </c>
      <c r="L44" s="168">
        <f ca="1">IF($C44-L$1&lt;År1,0,K43*(1-VLOOKUP($A44,[1]Hugst!$R$5:$W$9,MATCH(ROUNDUP((L$1)/10,0)*10,[1]Hugst!$R$4:$W$4,0))))</f>
        <v>871.48611353258525</v>
      </c>
      <c r="M44" s="168">
        <f ca="1">IF($C44-M$1&lt;År1,0,L43*(1-VLOOKUP($A44,[1]Hugst!$R$5:$W$9,MATCH(ROUNDUP((M$1)/10,0)*10,[1]Hugst!$R$4:$W$4,0))))</f>
        <v>874.60655370854579</v>
      </c>
      <c r="N44" s="168">
        <f ca="1">IF($C44-N$1&lt;År1,0,M43*(1-VLOOKUP($A44,[1]Hugst!$R$5:$W$9,MATCH(ROUNDUP((N$1)/10,0)*10,[1]Hugst!$R$4:$W$4,0))))</f>
        <v>877.7426744883785</v>
      </c>
      <c r="O44" s="168">
        <f ca="1">IF($C44-O$1&lt;År1,0,N43*(1-VLOOKUP($A44,[1]Hugst!$R$5:$W$9,MATCH(ROUNDUP((O$1)/10,0)*10,[1]Hugst!$R$4:$W$4,0))))</f>
        <v>880.89455466914728</v>
      </c>
      <c r="P44" s="168">
        <f ca="1">IF($C44-P$1&lt;År1,0,O43*(1-VLOOKUP($A44,[1]Hugst!$R$5:$W$9,MATCH(ROUNDUP((P$1)/10,0)*10,[1]Hugst!$R$4:$W$4,0))))</f>
        <v>884.0622734437718</v>
      </c>
      <c r="Q44" s="168">
        <f ca="1">IF($C44-Q$1&lt;År1,0,P43*(1-VLOOKUP($A44,[1]Hugst!$R$5:$W$9,MATCH(ROUNDUP((Q$1)/10,0)*10,[1]Hugst!$R$4:$W$4,0))))</f>
        <v>887.24591040319569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*VLOOKUP(A45,Skovbrug!$A$13:$D$17,IF('Skovbrug-alder'!C45&lt;=År2,3,4),FALSE)-IF(C45&gt;2020,SUM(INDEX($C$1:$D$311,MATCH(1,(2020=$C$1:$C$311)*(B45=$B$1:$B$311)*(A45=$A$1:$A$311),0),2):D44),0))</f>
        <v>599.55703398572223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850.07555250424116</v>
      </c>
      <c r="G45" s="168">
        <f ca="1">IF($C45-G$1&lt;År1,0,F44*(1-VLOOKUP($A45,[1]Hugst!$R$5:$W$9,MATCH(ROUNDUP((G$1)/10,0)*10,[1]Hugst!$R$4:$W$4,0))))</f>
        <v>853.08840192123239</v>
      </c>
      <c r="H45" s="168">
        <f ca="1">IF($C45-H$1&lt;År1,0,G44*(1-VLOOKUP($A45,[1]Hugst!$R$5:$W$9,MATCH(ROUNDUP((H$1)/10,0)*10,[1]Hugst!$R$4:$W$4,0))))</f>
        <v>856.11639128509773</v>
      </c>
      <c r="I45" s="168">
        <f ca="1">IF($C45-I$1&lt;År1,0,H44*(1-VLOOKUP($A45,[1]Hugst!$R$5:$W$9,MATCH(ROUNDUP((I$1)/10,0)*10,[1]Hugst!$R$4:$W$4,0))))</f>
        <v>859.15959667586935</v>
      </c>
      <c r="J45" s="168">
        <f ca="1">IF($C45-J$1&lt;År1,0,I44*(1-VLOOKUP($A45,[1]Hugst!$R$5:$W$9,MATCH(ROUNDUP((J$1)/10,0)*10,[1]Hugst!$R$4:$W$4,0))))</f>
        <v>862.21809455606194</v>
      </c>
      <c r="K45" s="168">
        <f ca="1">IF($C45-K$1&lt;År1,0,J44*(1-VLOOKUP($A45,[1]Hugst!$R$5:$W$9,MATCH(ROUNDUP((K$1)/10,0)*10,[1]Hugst!$R$4:$W$4,0))))</f>
        <v>865.29196177231711</v>
      </c>
      <c r="L45" s="168">
        <f ca="1">IF($C45-L$1&lt;År1,0,K44*(1-VLOOKUP($A45,[1]Hugst!$R$5:$W$9,MATCH(ROUNDUP((L$1)/10,0)*10,[1]Hugst!$R$4:$W$4,0))))</f>
        <v>868.38127555754249</v>
      </c>
      <c r="M45" s="168">
        <f ca="1">IF($C45-M$1&lt;År1,0,L44*(1-VLOOKUP($A45,[1]Hugst!$R$5:$W$9,MATCH(ROUNDUP((M$1)/10,0)*10,[1]Hugst!$R$4:$W$4,0))))</f>
        <v>871.48611353258525</v>
      </c>
      <c r="N45" s="168">
        <f ca="1">IF($C45-N$1&lt;År1,0,M44*(1-VLOOKUP($A45,[1]Hugst!$R$5:$W$9,MATCH(ROUNDUP((N$1)/10,0)*10,[1]Hugst!$R$4:$W$4,0))))</f>
        <v>874.60655370854579</v>
      </c>
      <c r="O45" s="168">
        <f ca="1">IF($C45-O$1&lt;År1,0,N44*(1-VLOOKUP($A45,[1]Hugst!$R$5:$W$9,MATCH(ROUNDUP((O$1)/10,0)*10,[1]Hugst!$R$4:$W$4,0))))</f>
        <v>877.7426744883785</v>
      </c>
      <c r="P45" s="168">
        <f ca="1">IF($C45-P$1&lt;År1,0,O44*(1-VLOOKUP($A45,[1]Hugst!$R$5:$W$9,MATCH(ROUNDUP((P$1)/10,0)*10,[1]Hugst!$R$4:$W$4,0))))</f>
        <v>880.89455466914728</v>
      </c>
      <c r="Q45" s="168">
        <f ca="1">IF($C45-Q$1&lt;År1,0,P44*(1-VLOOKUP($A45,[1]Hugst!$R$5:$W$9,MATCH(ROUNDUP((Q$1)/10,0)*10,[1]Hugst!$R$4:$W$4,0))))</f>
        <v>884.0622734437718</v>
      </c>
      <c r="R45" s="168">
        <f ca="1">IF($C45-R$1&lt;År1,0,Q44*(1-VLOOKUP($A45,[1]Hugst!$R$5:$W$9,MATCH(ROUNDUP((R$1)/10,0)*10,[1]Hugst!$R$4:$W$4,0))))</f>
        <v>887.24591040319569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*VLOOKUP(A46,Skovbrug!$A$13:$D$17,IF('Skovbrug-alder'!C46&lt;=År2,3,4),FALSE)-IF(C46&gt;2020,SUM(INDEX($C$1:$D$311,MATCH(1,(2020=$C$1:$C$311)*(B46=$B$1:$B$311)*(A46=$A$1:$A$311),0),2):D45),0))</f>
        <v>596.55924881578539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847.07776733430433</v>
      </c>
      <c r="G46" s="168">
        <f ca="1">IF($C46-G$1&lt;År1,0,F45*(1-VLOOKUP($A46,[1]Hugst!$R$5:$W$9,MATCH(ROUNDUP((G$1)/10,0)*10,[1]Hugst!$R$4:$W$4,0))))</f>
        <v>850.07555250424116</v>
      </c>
      <c r="H46" s="168">
        <f ca="1">IF($C46-H$1&lt;År1,0,G45*(1-VLOOKUP($A46,[1]Hugst!$R$5:$W$9,MATCH(ROUNDUP((H$1)/10,0)*10,[1]Hugst!$R$4:$W$4,0))))</f>
        <v>853.08840192123239</v>
      </c>
      <c r="I46" s="168">
        <f ca="1">IF($C46-I$1&lt;År1,0,H45*(1-VLOOKUP($A46,[1]Hugst!$R$5:$W$9,MATCH(ROUNDUP((I$1)/10,0)*10,[1]Hugst!$R$4:$W$4,0))))</f>
        <v>856.11639128509773</v>
      </c>
      <c r="J46" s="168">
        <f ca="1">IF($C46-J$1&lt;År1,0,I45*(1-VLOOKUP($A46,[1]Hugst!$R$5:$W$9,MATCH(ROUNDUP((J$1)/10,0)*10,[1]Hugst!$R$4:$W$4,0))))</f>
        <v>859.15959667586935</v>
      </c>
      <c r="K46" s="168">
        <f ca="1">IF($C46-K$1&lt;År1,0,J45*(1-VLOOKUP($A46,[1]Hugst!$R$5:$W$9,MATCH(ROUNDUP((K$1)/10,0)*10,[1]Hugst!$R$4:$W$4,0))))</f>
        <v>862.21809455606194</v>
      </c>
      <c r="L46" s="168">
        <f ca="1">IF($C46-L$1&lt;År1,0,K45*(1-VLOOKUP($A46,[1]Hugst!$R$5:$W$9,MATCH(ROUNDUP((L$1)/10,0)*10,[1]Hugst!$R$4:$W$4,0))))</f>
        <v>865.29196177231711</v>
      </c>
      <c r="M46" s="168">
        <f ca="1">IF($C46-M$1&lt;År1,0,L45*(1-VLOOKUP($A46,[1]Hugst!$R$5:$W$9,MATCH(ROUNDUP((M$1)/10,0)*10,[1]Hugst!$R$4:$W$4,0))))</f>
        <v>868.38127555754249</v>
      </c>
      <c r="N46" s="168">
        <f ca="1">IF($C46-N$1&lt;År1,0,M45*(1-VLOOKUP($A46,[1]Hugst!$R$5:$W$9,MATCH(ROUNDUP((N$1)/10,0)*10,[1]Hugst!$R$4:$W$4,0))))</f>
        <v>871.48611353258525</v>
      </c>
      <c r="O46" s="168">
        <f ca="1">IF($C46-O$1&lt;År1,0,N45*(1-VLOOKUP($A46,[1]Hugst!$R$5:$W$9,MATCH(ROUNDUP((O$1)/10,0)*10,[1]Hugst!$R$4:$W$4,0))))</f>
        <v>874.60655370854579</v>
      </c>
      <c r="P46" s="168">
        <f ca="1">IF($C46-P$1&lt;År1,0,O45*(1-VLOOKUP($A46,[1]Hugst!$R$5:$W$9,MATCH(ROUNDUP((P$1)/10,0)*10,[1]Hugst!$R$4:$W$4,0))))</f>
        <v>877.7426744883785</v>
      </c>
      <c r="Q46" s="168">
        <f ca="1">IF($C46-Q$1&lt;År1,0,P45*(1-VLOOKUP($A46,[1]Hugst!$R$5:$W$9,MATCH(ROUNDUP((Q$1)/10,0)*10,[1]Hugst!$R$4:$W$4,0))))</f>
        <v>880.89455466914728</v>
      </c>
      <c r="R46" s="168">
        <f ca="1">IF($C46-R$1&lt;År1,0,Q45*(1-VLOOKUP($A46,[1]Hugst!$R$5:$W$9,MATCH(ROUNDUP((R$1)/10,0)*10,[1]Hugst!$R$4:$W$4,0))))</f>
        <v>884.0622734437718</v>
      </c>
      <c r="S46" s="168">
        <f ca="1">IF($C46-S$1&lt;År1,0,R45*(1-VLOOKUP($A46,[1]Hugst!$R$5:$W$9,MATCH(ROUNDUP((S$1)/10,0)*10,[1]Hugst!$R$4:$W$4,0))))</f>
        <v>887.24591040319569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*VLOOKUP(A47,Skovbrug!$A$13:$D$17,IF('Skovbrug-alder'!C47&lt;=År2,3,4),FALSE)-IF(C47&gt;2020,SUM(INDEX($C$1:$D$311,MATCH(1,(2020=$C$1:$C$311)*(B47=$B$1:$B$311)*(A47=$A$1:$A$311),0),2):D46),0))</f>
        <v>593.57645257170952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844.09497109022846</v>
      </c>
      <c r="G47" s="168">
        <f ca="1">IF($C47-G$1&lt;År1,0,F46*(1-VLOOKUP($A47,[1]Hugst!$R$5:$W$9,MATCH(ROUNDUP((G$1)/10,0)*10,[1]Hugst!$R$4:$W$4,0))))</f>
        <v>847.07776733430433</v>
      </c>
      <c r="H47" s="168">
        <f ca="1">IF($C47-H$1&lt;År1,0,G46*(1-VLOOKUP($A47,[1]Hugst!$R$5:$W$9,MATCH(ROUNDUP((H$1)/10,0)*10,[1]Hugst!$R$4:$W$4,0))))</f>
        <v>850.07555250424116</v>
      </c>
      <c r="I47" s="168">
        <f ca="1">IF($C47-I$1&lt;År1,0,H46*(1-VLOOKUP($A47,[1]Hugst!$R$5:$W$9,MATCH(ROUNDUP((I$1)/10,0)*10,[1]Hugst!$R$4:$W$4,0))))</f>
        <v>853.08840192123239</v>
      </c>
      <c r="J47" s="168">
        <f ca="1">IF($C47-J$1&lt;År1,0,I46*(1-VLOOKUP($A47,[1]Hugst!$R$5:$W$9,MATCH(ROUNDUP((J$1)/10,0)*10,[1]Hugst!$R$4:$W$4,0))))</f>
        <v>856.11639128509773</v>
      </c>
      <c r="K47" s="168">
        <f ca="1">IF($C47-K$1&lt;År1,0,J46*(1-VLOOKUP($A47,[1]Hugst!$R$5:$W$9,MATCH(ROUNDUP((K$1)/10,0)*10,[1]Hugst!$R$4:$W$4,0))))</f>
        <v>859.15959667586935</v>
      </c>
      <c r="L47" s="168">
        <f ca="1">IF($C47-L$1&lt;År1,0,K46*(1-VLOOKUP($A47,[1]Hugst!$R$5:$W$9,MATCH(ROUNDUP((L$1)/10,0)*10,[1]Hugst!$R$4:$W$4,0))))</f>
        <v>862.21809455606194</v>
      </c>
      <c r="M47" s="168">
        <f ca="1">IF($C47-M$1&lt;År1,0,L46*(1-VLOOKUP($A47,[1]Hugst!$R$5:$W$9,MATCH(ROUNDUP((M$1)/10,0)*10,[1]Hugst!$R$4:$W$4,0))))</f>
        <v>865.29196177231711</v>
      </c>
      <c r="N47" s="168">
        <f ca="1">IF($C47-N$1&lt;År1,0,M46*(1-VLOOKUP($A47,[1]Hugst!$R$5:$W$9,MATCH(ROUNDUP((N$1)/10,0)*10,[1]Hugst!$R$4:$W$4,0))))</f>
        <v>868.38127555754249</v>
      </c>
      <c r="O47" s="168">
        <f ca="1">IF($C47-O$1&lt;År1,0,N46*(1-VLOOKUP($A47,[1]Hugst!$R$5:$W$9,MATCH(ROUNDUP((O$1)/10,0)*10,[1]Hugst!$R$4:$W$4,0))))</f>
        <v>871.48611353258525</v>
      </c>
      <c r="P47" s="168">
        <f ca="1">IF($C47-P$1&lt;År1,0,O46*(1-VLOOKUP($A47,[1]Hugst!$R$5:$W$9,MATCH(ROUNDUP((P$1)/10,0)*10,[1]Hugst!$R$4:$W$4,0))))</f>
        <v>874.60655370854579</v>
      </c>
      <c r="Q47" s="168">
        <f ca="1">IF($C47-Q$1&lt;År1,0,P46*(1-VLOOKUP($A47,[1]Hugst!$R$5:$W$9,MATCH(ROUNDUP((Q$1)/10,0)*10,[1]Hugst!$R$4:$W$4,0))))</f>
        <v>877.7426744883785</v>
      </c>
      <c r="R47" s="168">
        <f ca="1">IF($C47-R$1&lt;År1,0,Q46*(1-VLOOKUP($A47,[1]Hugst!$R$5:$W$9,MATCH(ROUNDUP((R$1)/10,0)*10,[1]Hugst!$R$4:$W$4,0))))</f>
        <v>880.89455466914728</v>
      </c>
      <c r="S47" s="168">
        <f ca="1">IF($C47-S$1&lt;År1,0,R46*(1-VLOOKUP($A47,[1]Hugst!$R$5:$W$9,MATCH(ROUNDUP((S$1)/10,0)*10,[1]Hugst!$R$4:$W$4,0))))</f>
        <v>884.0622734437718</v>
      </c>
      <c r="T47" s="168">
        <f ca="1">IF($C47-T$1&lt;År1,0,S46*(1-VLOOKUP($A47,[1]Hugst!$R$5:$W$9,MATCH(ROUNDUP((T$1)/10,0)*10,[1]Hugst!$R$4:$W$4,0))))</f>
        <v>887.24591040319569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*VLOOKUP(A48,Skovbrug!$A$13:$D$17,IF('Skovbrug-alder'!C48&lt;=År2,3,4),FALSE)-IF(C48&gt;2020,SUM(INDEX($C$1:$D$311,MATCH(1,(2020=$C$1:$C$311)*(B48=$B$1:$B$311)*(A48=$A$1:$A$311),0),2):D47),0))</f>
        <v>590.60857030886109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841.12708882738002</v>
      </c>
      <c r="G48" s="168">
        <f ca="1">IF($C48-G$1&lt;År1,0,F47*(1-VLOOKUP($A48,[1]Hugst!$R$5:$W$9,MATCH(ROUNDUP((G$1)/10,0)*10,[1]Hugst!$R$4:$W$4,0))))</f>
        <v>844.09497109022846</v>
      </c>
      <c r="H48" s="168">
        <f ca="1">IF($C48-H$1&lt;År1,0,G47*(1-VLOOKUP($A48,[1]Hugst!$R$5:$W$9,MATCH(ROUNDUP((H$1)/10,0)*10,[1]Hugst!$R$4:$W$4,0))))</f>
        <v>847.07776733430433</v>
      </c>
      <c r="I48" s="168">
        <f ca="1">IF($C48-I$1&lt;År1,0,H47*(1-VLOOKUP($A48,[1]Hugst!$R$5:$W$9,MATCH(ROUNDUP((I$1)/10,0)*10,[1]Hugst!$R$4:$W$4,0))))</f>
        <v>850.07555250424116</v>
      </c>
      <c r="J48" s="168">
        <f ca="1">IF($C48-J$1&lt;År1,0,I47*(1-VLOOKUP($A48,[1]Hugst!$R$5:$W$9,MATCH(ROUNDUP((J$1)/10,0)*10,[1]Hugst!$R$4:$W$4,0))))</f>
        <v>853.08840192123239</v>
      </c>
      <c r="K48" s="168">
        <f ca="1">IF($C48-K$1&lt;År1,0,J47*(1-VLOOKUP($A48,[1]Hugst!$R$5:$W$9,MATCH(ROUNDUP((K$1)/10,0)*10,[1]Hugst!$R$4:$W$4,0))))</f>
        <v>856.11639128509773</v>
      </c>
      <c r="L48" s="168">
        <f ca="1">IF($C48-L$1&lt;År1,0,K47*(1-VLOOKUP($A48,[1]Hugst!$R$5:$W$9,MATCH(ROUNDUP((L$1)/10,0)*10,[1]Hugst!$R$4:$W$4,0))))</f>
        <v>859.15959667586935</v>
      </c>
      <c r="M48" s="168">
        <f ca="1">IF($C48-M$1&lt;År1,0,L47*(1-VLOOKUP($A48,[1]Hugst!$R$5:$W$9,MATCH(ROUNDUP((M$1)/10,0)*10,[1]Hugst!$R$4:$W$4,0))))</f>
        <v>862.21809455606194</v>
      </c>
      <c r="N48" s="168">
        <f ca="1">IF($C48-N$1&lt;År1,0,M47*(1-VLOOKUP($A48,[1]Hugst!$R$5:$W$9,MATCH(ROUNDUP((N$1)/10,0)*10,[1]Hugst!$R$4:$W$4,0))))</f>
        <v>865.29196177231711</v>
      </c>
      <c r="O48" s="168">
        <f ca="1">IF($C48-O$1&lt;År1,0,N47*(1-VLOOKUP($A48,[1]Hugst!$R$5:$W$9,MATCH(ROUNDUP((O$1)/10,0)*10,[1]Hugst!$R$4:$W$4,0))))</f>
        <v>868.38127555754249</v>
      </c>
      <c r="P48" s="168">
        <f ca="1">IF($C48-P$1&lt;År1,0,O47*(1-VLOOKUP($A48,[1]Hugst!$R$5:$W$9,MATCH(ROUNDUP((P$1)/10,0)*10,[1]Hugst!$R$4:$W$4,0))))</f>
        <v>871.48611353258525</v>
      </c>
      <c r="Q48" s="168">
        <f ca="1">IF($C48-Q$1&lt;År1,0,P47*(1-VLOOKUP($A48,[1]Hugst!$R$5:$W$9,MATCH(ROUNDUP((Q$1)/10,0)*10,[1]Hugst!$R$4:$W$4,0))))</f>
        <v>874.60655370854579</v>
      </c>
      <c r="R48" s="168">
        <f ca="1">IF($C48-R$1&lt;År1,0,Q47*(1-VLOOKUP($A48,[1]Hugst!$R$5:$W$9,MATCH(ROUNDUP((R$1)/10,0)*10,[1]Hugst!$R$4:$W$4,0))))</f>
        <v>877.7426744883785</v>
      </c>
      <c r="S48" s="168">
        <f ca="1">IF($C48-S$1&lt;År1,0,R47*(1-VLOOKUP($A48,[1]Hugst!$R$5:$W$9,MATCH(ROUNDUP((S$1)/10,0)*10,[1]Hugst!$R$4:$W$4,0))))</f>
        <v>880.89455466914728</v>
      </c>
      <c r="T48" s="168">
        <f ca="1">IF($C48-T$1&lt;År1,0,S47*(1-VLOOKUP($A48,[1]Hugst!$R$5:$W$9,MATCH(ROUNDUP((T$1)/10,0)*10,[1]Hugst!$R$4:$W$4,0))))</f>
        <v>884.0622734437718</v>
      </c>
      <c r="U48" s="168">
        <f ca="1">IF($C48-U$1&lt;År1,0,T47*(1-VLOOKUP($A48,[1]Hugst!$R$5:$W$9,MATCH(ROUNDUP((U$1)/10,0)*10,[1]Hugst!$R$4:$W$4,0))))</f>
        <v>887.24591040319569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*VLOOKUP(A49,Skovbrug!$A$13:$D$17,IF('Skovbrug-alder'!C49&lt;=År2,3,4),FALSE)-IF(C49&gt;2020,SUM(INDEX($C$1:$D$311,MATCH(1,(2020=$C$1:$C$311)*(B49=$B$1:$B$311)*(A49=$A$1:$A$311),0),2):D48),0))</f>
        <v>587.65552745730383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838.17404597582276</v>
      </c>
      <c r="G49" s="168">
        <f ca="1">IF($C49-G$1&lt;År1,0,F48*(1-VLOOKUP($A49,[1]Hugst!$R$5:$W$9,MATCH(ROUNDUP((G$1)/10,0)*10,[1]Hugst!$R$4:$W$4,0))))</f>
        <v>841.12708882738002</v>
      </c>
      <c r="H49" s="168">
        <f ca="1">IF($C49-H$1&lt;År1,0,G48*(1-VLOOKUP($A49,[1]Hugst!$R$5:$W$9,MATCH(ROUNDUP((H$1)/10,0)*10,[1]Hugst!$R$4:$W$4,0))))</f>
        <v>844.09497109022846</v>
      </c>
      <c r="I49" s="168">
        <f ca="1">IF($C49-I$1&lt;År1,0,H48*(1-VLOOKUP($A49,[1]Hugst!$R$5:$W$9,MATCH(ROUNDUP((I$1)/10,0)*10,[1]Hugst!$R$4:$W$4,0))))</f>
        <v>847.07776733430433</v>
      </c>
      <c r="J49" s="168">
        <f ca="1">IF($C49-J$1&lt;År1,0,I48*(1-VLOOKUP($A49,[1]Hugst!$R$5:$W$9,MATCH(ROUNDUP((J$1)/10,0)*10,[1]Hugst!$R$4:$W$4,0))))</f>
        <v>850.07555250424116</v>
      </c>
      <c r="K49" s="168">
        <f ca="1">IF($C49-K$1&lt;År1,0,J48*(1-VLOOKUP($A49,[1]Hugst!$R$5:$W$9,MATCH(ROUNDUP((K$1)/10,0)*10,[1]Hugst!$R$4:$W$4,0))))</f>
        <v>853.08840192123239</v>
      </c>
      <c r="L49" s="168">
        <f ca="1">IF($C49-L$1&lt;År1,0,K48*(1-VLOOKUP($A49,[1]Hugst!$R$5:$W$9,MATCH(ROUNDUP((L$1)/10,0)*10,[1]Hugst!$R$4:$W$4,0))))</f>
        <v>856.11639128509773</v>
      </c>
      <c r="M49" s="168">
        <f ca="1">IF($C49-M$1&lt;År1,0,L48*(1-VLOOKUP($A49,[1]Hugst!$R$5:$W$9,MATCH(ROUNDUP((M$1)/10,0)*10,[1]Hugst!$R$4:$W$4,0))))</f>
        <v>859.15959667586935</v>
      </c>
      <c r="N49" s="168">
        <f ca="1">IF($C49-N$1&lt;År1,0,M48*(1-VLOOKUP($A49,[1]Hugst!$R$5:$W$9,MATCH(ROUNDUP((N$1)/10,0)*10,[1]Hugst!$R$4:$W$4,0))))</f>
        <v>862.21809455606194</v>
      </c>
      <c r="O49" s="168">
        <f ca="1">IF($C49-O$1&lt;År1,0,N48*(1-VLOOKUP($A49,[1]Hugst!$R$5:$W$9,MATCH(ROUNDUP((O$1)/10,0)*10,[1]Hugst!$R$4:$W$4,0))))</f>
        <v>865.29196177231711</v>
      </c>
      <c r="P49" s="168">
        <f ca="1">IF($C49-P$1&lt;År1,0,O48*(1-VLOOKUP($A49,[1]Hugst!$R$5:$W$9,MATCH(ROUNDUP((P$1)/10,0)*10,[1]Hugst!$R$4:$W$4,0))))</f>
        <v>868.38127555754249</v>
      </c>
      <c r="Q49" s="168">
        <f ca="1">IF($C49-Q$1&lt;År1,0,P48*(1-VLOOKUP($A49,[1]Hugst!$R$5:$W$9,MATCH(ROUNDUP((Q$1)/10,0)*10,[1]Hugst!$R$4:$W$4,0))))</f>
        <v>871.48611353258525</v>
      </c>
      <c r="R49" s="168">
        <f ca="1">IF($C49-R$1&lt;År1,0,Q48*(1-VLOOKUP($A49,[1]Hugst!$R$5:$W$9,MATCH(ROUNDUP((R$1)/10,0)*10,[1]Hugst!$R$4:$W$4,0))))</f>
        <v>874.60655370854579</v>
      </c>
      <c r="S49" s="168">
        <f ca="1">IF($C49-S$1&lt;År1,0,R48*(1-VLOOKUP($A49,[1]Hugst!$R$5:$W$9,MATCH(ROUNDUP((S$1)/10,0)*10,[1]Hugst!$R$4:$W$4,0))))</f>
        <v>877.7426744883785</v>
      </c>
      <c r="T49" s="168">
        <f ca="1">IF($C49-T$1&lt;År1,0,S48*(1-VLOOKUP($A49,[1]Hugst!$R$5:$W$9,MATCH(ROUNDUP((T$1)/10,0)*10,[1]Hugst!$R$4:$W$4,0))))</f>
        <v>880.89455466914728</v>
      </c>
      <c r="U49" s="168">
        <f ca="1">IF($C49-U$1&lt;År1,0,T48*(1-VLOOKUP($A49,[1]Hugst!$R$5:$W$9,MATCH(ROUNDUP((U$1)/10,0)*10,[1]Hugst!$R$4:$W$4,0))))</f>
        <v>884.0622734437718</v>
      </c>
      <c r="V49" s="168">
        <f ca="1">IF($C49-V$1&lt;År1,0,U48*(1-VLOOKUP($A49,[1]Hugst!$R$5:$W$9,MATCH(ROUNDUP((V$1)/10,0)*10,[1]Hugst!$R$4:$W$4,0))))</f>
        <v>887.24591040319569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*VLOOKUP(A50,Skovbrug!$A$13:$D$17,IF('Skovbrug-alder'!C50&lt;=År2,3,4),FALSE)-IF(C50&gt;2020,SUM(INDEX($C$1:$D$311,MATCH(1,(2020=$C$1:$C$311)*(B50=$B$1:$B$311)*(A50=$A$1:$A$311),0),2):D49),0))</f>
        <v>584.71724982002343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835.23576833854236</v>
      </c>
      <c r="G50" s="168">
        <f ca="1">IF($C50-G$1&lt;År1,0,F49*(1-VLOOKUP($A50,[1]Hugst!$R$5:$W$9,MATCH(ROUNDUP((G$1)/10,0)*10,[1]Hugst!$R$4:$W$4,0))))</f>
        <v>838.17404597582276</v>
      </c>
      <c r="H50" s="168">
        <f ca="1">IF($C50-H$1&lt;År1,0,G49*(1-VLOOKUP($A50,[1]Hugst!$R$5:$W$9,MATCH(ROUNDUP((H$1)/10,0)*10,[1]Hugst!$R$4:$W$4,0))))</f>
        <v>841.12708882738002</v>
      </c>
      <c r="I50" s="168">
        <f ca="1">IF($C50-I$1&lt;År1,0,H49*(1-VLOOKUP($A50,[1]Hugst!$R$5:$W$9,MATCH(ROUNDUP((I$1)/10,0)*10,[1]Hugst!$R$4:$W$4,0))))</f>
        <v>844.09497109022846</v>
      </c>
      <c r="J50" s="168">
        <f ca="1">IF($C50-J$1&lt;År1,0,I49*(1-VLOOKUP($A50,[1]Hugst!$R$5:$W$9,MATCH(ROUNDUP((J$1)/10,0)*10,[1]Hugst!$R$4:$W$4,0))))</f>
        <v>847.07776733430433</v>
      </c>
      <c r="K50" s="168">
        <f ca="1">IF($C50-K$1&lt;År1,0,J49*(1-VLOOKUP($A50,[1]Hugst!$R$5:$W$9,MATCH(ROUNDUP((K$1)/10,0)*10,[1]Hugst!$R$4:$W$4,0))))</f>
        <v>850.07555250424116</v>
      </c>
      <c r="L50" s="168">
        <f ca="1">IF($C50-L$1&lt;År1,0,K49*(1-VLOOKUP($A50,[1]Hugst!$R$5:$W$9,MATCH(ROUNDUP((L$1)/10,0)*10,[1]Hugst!$R$4:$W$4,0))))</f>
        <v>853.08840192123239</v>
      </c>
      <c r="M50" s="168">
        <f ca="1">IF($C50-M$1&lt;År1,0,L49*(1-VLOOKUP($A50,[1]Hugst!$R$5:$W$9,MATCH(ROUNDUP((M$1)/10,0)*10,[1]Hugst!$R$4:$W$4,0))))</f>
        <v>856.11639128509773</v>
      </c>
      <c r="N50" s="168">
        <f ca="1">IF($C50-N$1&lt;År1,0,M49*(1-VLOOKUP($A50,[1]Hugst!$R$5:$W$9,MATCH(ROUNDUP((N$1)/10,0)*10,[1]Hugst!$R$4:$W$4,0))))</f>
        <v>859.15959667586935</v>
      </c>
      <c r="O50" s="168">
        <f ca="1">IF($C50-O$1&lt;År1,0,N49*(1-VLOOKUP($A50,[1]Hugst!$R$5:$W$9,MATCH(ROUNDUP((O$1)/10,0)*10,[1]Hugst!$R$4:$W$4,0))))</f>
        <v>862.21809455606194</v>
      </c>
      <c r="P50" s="168">
        <f ca="1">IF($C50-P$1&lt;År1,0,O49*(1-VLOOKUP($A50,[1]Hugst!$R$5:$W$9,MATCH(ROUNDUP((P$1)/10,0)*10,[1]Hugst!$R$4:$W$4,0))))</f>
        <v>865.29196177231711</v>
      </c>
      <c r="Q50" s="168">
        <f ca="1">IF($C50-Q$1&lt;År1,0,P49*(1-VLOOKUP($A50,[1]Hugst!$R$5:$W$9,MATCH(ROUNDUP((Q$1)/10,0)*10,[1]Hugst!$R$4:$W$4,0))))</f>
        <v>868.38127555754249</v>
      </c>
      <c r="R50" s="168">
        <f ca="1">IF($C50-R$1&lt;År1,0,Q49*(1-VLOOKUP($A50,[1]Hugst!$R$5:$W$9,MATCH(ROUNDUP((R$1)/10,0)*10,[1]Hugst!$R$4:$W$4,0))))</f>
        <v>871.48611353258525</v>
      </c>
      <c r="S50" s="168">
        <f ca="1">IF($C50-S$1&lt;År1,0,R49*(1-VLOOKUP($A50,[1]Hugst!$R$5:$W$9,MATCH(ROUNDUP((S$1)/10,0)*10,[1]Hugst!$R$4:$W$4,0))))</f>
        <v>874.60655370854579</v>
      </c>
      <c r="T50" s="168">
        <f ca="1">IF($C50-T$1&lt;År1,0,S49*(1-VLOOKUP($A50,[1]Hugst!$R$5:$W$9,MATCH(ROUNDUP((T$1)/10,0)*10,[1]Hugst!$R$4:$W$4,0))))</f>
        <v>877.7426744883785</v>
      </c>
      <c r="U50" s="168">
        <f ca="1">IF($C50-U$1&lt;År1,0,T49*(1-VLOOKUP($A50,[1]Hugst!$R$5:$W$9,MATCH(ROUNDUP((U$1)/10,0)*10,[1]Hugst!$R$4:$W$4,0))))</f>
        <v>880.89455466914728</v>
      </c>
      <c r="V50" s="168">
        <f ca="1">IF($C50-V$1&lt;År1,0,U49*(1-VLOOKUP($A50,[1]Hugst!$R$5:$W$9,MATCH(ROUNDUP((V$1)/10,0)*10,[1]Hugst!$R$4:$W$4,0))))</f>
        <v>884.0622734437718</v>
      </c>
      <c r="W50" s="168">
        <f ca="1">IF($C50-W$1&lt;År1,0,V49*(1-VLOOKUP($A50,[1]Hugst!$R$5:$W$9,MATCH(ROUNDUP((W$1)/10,0)*10,[1]Hugst!$R$4:$W$4,0))))</f>
        <v>887.24591040319569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*VLOOKUP(A51,Skovbrug!$A$13:$D$17,IF('Skovbrug-alder'!C51&lt;=År2,3,4),FALSE)-IF(C51&gt;2020,SUM(INDEX($C$1:$D$311,MATCH(1,(2020=$C$1:$C$311)*(B51=$B$1:$B$311)*(A51=$A$1:$A$311),0),2):D50),0))</f>
        <v>581.79366357093386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832.31218208945279</v>
      </c>
      <c r="G51" s="168">
        <f ca="1">IF($C51-G$1&lt;År1,0,F50*(1-VLOOKUP($A51,[1]Hugst!$R$5:$W$9,MATCH(ROUNDUP((G$1)/10,0)*10,[1]Hugst!$R$4:$W$4,0))))</f>
        <v>835.23576833854236</v>
      </c>
      <c r="H51" s="168">
        <f ca="1">IF($C51-H$1&lt;År1,0,G50*(1-VLOOKUP($A51,[1]Hugst!$R$5:$W$9,MATCH(ROUNDUP((H$1)/10,0)*10,[1]Hugst!$R$4:$W$4,0))))</f>
        <v>838.17404597582276</v>
      </c>
      <c r="I51" s="168">
        <f ca="1">IF($C51-I$1&lt;År1,0,H50*(1-VLOOKUP($A51,[1]Hugst!$R$5:$W$9,MATCH(ROUNDUP((I$1)/10,0)*10,[1]Hugst!$R$4:$W$4,0))))</f>
        <v>841.12708882738002</v>
      </c>
      <c r="J51" s="168">
        <f ca="1">IF($C51-J$1&lt;År1,0,I50*(1-VLOOKUP($A51,[1]Hugst!$R$5:$W$9,MATCH(ROUNDUP((J$1)/10,0)*10,[1]Hugst!$R$4:$W$4,0))))</f>
        <v>844.09497109022846</v>
      </c>
      <c r="K51" s="168">
        <f ca="1">IF($C51-K$1&lt;År1,0,J50*(1-VLOOKUP($A51,[1]Hugst!$R$5:$W$9,MATCH(ROUNDUP((K$1)/10,0)*10,[1]Hugst!$R$4:$W$4,0))))</f>
        <v>847.07776733430433</v>
      </c>
      <c r="L51" s="168">
        <f ca="1">IF($C51-L$1&lt;År1,0,K50*(1-VLOOKUP($A51,[1]Hugst!$R$5:$W$9,MATCH(ROUNDUP((L$1)/10,0)*10,[1]Hugst!$R$4:$W$4,0))))</f>
        <v>850.07555250424116</v>
      </c>
      <c r="M51" s="168">
        <f ca="1">IF($C51-M$1&lt;År1,0,L50*(1-VLOOKUP($A51,[1]Hugst!$R$5:$W$9,MATCH(ROUNDUP((M$1)/10,0)*10,[1]Hugst!$R$4:$W$4,0))))</f>
        <v>853.08840192123239</v>
      </c>
      <c r="N51" s="168">
        <f ca="1">IF($C51-N$1&lt;År1,0,M50*(1-VLOOKUP($A51,[1]Hugst!$R$5:$W$9,MATCH(ROUNDUP((N$1)/10,0)*10,[1]Hugst!$R$4:$W$4,0))))</f>
        <v>856.11639128509773</v>
      </c>
      <c r="O51" s="168">
        <f ca="1">IF($C51-O$1&lt;År1,0,N50*(1-VLOOKUP($A51,[1]Hugst!$R$5:$W$9,MATCH(ROUNDUP((O$1)/10,0)*10,[1]Hugst!$R$4:$W$4,0))))</f>
        <v>859.15959667586935</v>
      </c>
      <c r="P51" s="168">
        <f ca="1">IF($C51-P$1&lt;År1,0,O50*(1-VLOOKUP($A51,[1]Hugst!$R$5:$W$9,MATCH(ROUNDUP((P$1)/10,0)*10,[1]Hugst!$R$4:$W$4,0))))</f>
        <v>862.21809455606194</v>
      </c>
      <c r="Q51" s="168">
        <f ca="1">IF($C51-Q$1&lt;År1,0,P50*(1-VLOOKUP($A51,[1]Hugst!$R$5:$W$9,MATCH(ROUNDUP((Q$1)/10,0)*10,[1]Hugst!$R$4:$W$4,0))))</f>
        <v>865.29196177231711</v>
      </c>
      <c r="R51" s="168">
        <f ca="1">IF($C51-R$1&lt;År1,0,Q50*(1-VLOOKUP($A51,[1]Hugst!$R$5:$W$9,MATCH(ROUNDUP((R$1)/10,0)*10,[1]Hugst!$R$4:$W$4,0))))</f>
        <v>868.38127555754249</v>
      </c>
      <c r="S51" s="168">
        <f ca="1">IF($C51-S$1&lt;År1,0,R50*(1-VLOOKUP($A51,[1]Hugst!$R$5:$W$9,MATCH(ROUNDUP((S$1)/10,0)*10,[1]Hugst!$R$4:$W$4,0))))</f>
        <v>871.48611353258525</v>
      </c>
      <c r="T51" s="168">
        <f ca="1">IF($C51-T$1&lt;År1,0,S50*(1-VLOOKUP($A51,[1]Hugst!$R$5:$W$9,MATCH(ROUNDUP((T$1)/10,0)*10,[1]Hugst!$R$4:$W$4,0))))</f>
        <v>874.60655370854579</v>
      </c>
      <c r="U51" s="168">
        <f ca="1">IF($C51-U$1&lt;År1,0,T50*(1-VLOOKUP($A51,[1]Hugst!$R$5:$W$9,MATCH(ROUNDUP((U$1)/10,0)*10,[1]Hugst!$R$4:$W$4,0))))</f>
        <v>877.7426744883785</v>
      </c>
      <c r="V51" s="168">
        <f ca="1">IF($C51-V$1&lt;År1,0,U50*(1-VLOOKUP($A51,[1]Hugst!$R$5:$W$9,MATCH(ROUNDUP((V$1)/10,0)*10,[1]Hugst!$R$4:$W$4,0))))</f>
        <v>880.89455466914728</v>
      </c>
      <c r="W51" s="168">
        <f ca="1">IF($C51-W$1&lt;År1,0,V50*(1-VLOOKUP($A51,[1]Hugst!$R$5:$W$9,MATCH(ROUNDUP((W$1)/10,0)*10,[1]Hugst!$R$4:$W$4,0))))</f>
        <v>884.0622734437718</v>
      </c>
      <c r="X51" s="168">
        <f ca="1">IF($C51-X$1&lt;År1,0,W50*(1-VLOOKUP($A51,[1]Hugst!$R$5:$W$9,MATCH(ROUNDUP((X$1)/10,0)*10,[1]Hugst!$R$4:$W$4,0))))</f>
        <v>887.24591040319569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*VLOOKUP(A52,Skovbrug!$A$13:$D$17,IF('Skovbrug-alder'!C52&lt;=År2,3,4),FALSE)-IF(C52&gt;2020,SUM(INDEX($C$1:$D$311,MATCH(1,(2020=$C$1:$C$311)*(B52=$B$1:$B$311)*(A52=$A$1:$A$311),0),2):D51),0))</f>
        <v>578.88469525305845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829.40321377157738</v>
      </c>
      <c r="G52" s="168">
        <f ca="1">IF($C52-G$1&lt;År1,0,F51*(1-VLOOKUP($A52,[1]Hugst!$R$5:$W$9,MATCH(ROUNDUP((G$1)/10,0)*10,[1]Hugst!$R$4:$W$4,0))))</f>
        <v>832.31218208945279</v>
      </c>
      <c r="H52" s="168">
        <f ca="1">IF($C52-H$1&lt;År1,0,G51*(1-VLOOKUP($A52,[1]Hugst!$R$5:$W$9,MATCH(ROUNDUP((H$1)/10,0)*10,[1]Hugst!$R$4:$W$4,0))))</f>
        <v>835.23576833854236</v>
      </c>
      <c r="I52" s="168">
        <f ca="1">IF($C52-I$1&lt;År1,0,H51*(1-VLOOKUP($A52,[1]Hugst!$R$5:$W$9,MATCH(ROUNDUP((I$1)/10,0)*10,[1]Hugst!$R$4:$W$4,0))))</f>
        <v>838.17404597582276</v>
      </c>
      <c r="J52" s="168">
        <f ca="1">IF($C52-J$1&lt;År1,0,I51*(1-VLOOKUP($A52,[1]Hugst!$R$5:$W$9,MATCH(ROUNDUP((J$1)/10,0)*10,[1]Hugst!$R$4:$W$4,0))))</f>
        <v>841.12708882738002</v>
      </c>
      <c r="K52" s="168">
        <f ca="1">IF($C52-K$1&lt;År1,0,J51*(1-VLOOKUP($A52,[1]Hugst!$R$5:$W$9,MATCH(ROUNDUP((K$1)/10,0)*10,[1]Hugst!$R$4:$W$4,0))))</f>
        <v>844.09497109022846</v>
      </c>
      <c r="L52" s="168">
        <f ca="1">IF($C52-L$1&lt;År1,0,K51*(1-VLOOKUP($A52,[1]Hugst!$R$5:$W$9,MATCH(ROUNDUP((L$1)/10,0)*10,[1]Hugst!$R$4:$W$4,0))))</f>
        <v>847.07776733430433</v>
      </c>
      <c r="M52" s="168">
        <f ca="1">IF($C52-M$1&lt;År1,0,L51*(1-VLOOKUP($A52,[1]Hugst!$R$5:$W$9,MATCH(ROUNDUP((M$1)/10,0)*10,[1]Hugst!$R$4:$W$4,0))))</f>
        <v>850.07555250424116</v>
      </c>
      <c r="N52" s="168">
        <f ca="1">IF($C52-N$1&lt;År1,0,M51*(1-VLOOKUP($A52,[1]Hugst!$R$5:$W$9,MATCH(ROUNDUP((N$1)/10,0)*10,[1]Hugst!$R$4:$W$4,0))))</f>
        <v>853.08840192123239</v>
      </c>
      <c r="O52" s="168">
        <f ca="1">IF($C52-O$1&lt;År1,0,N51*(1-VLOOKUP($A52,[1]Hugst!$R$5:$W$9,MATCH(ROUNDUP((O$1)/10,0)*10,[1]Hugst!$R$4:$W$4,0))))</f>
        <v>856.11639128509773</v>
      </c>
      <c r="P52" s="168">
        <f ca="1">IF($C52-P$1&lt;År1,0,O51*(1-VLOOKUP($A52,[1]Hugst!$R$5:$W$9,MATCH(ROUNDUP((P$1)/10,0)*10,[1]Hugst!$R$4:$W$4,0))))</f>
        <v>859.15959667586935</v>
      </c>
      <c r="Q52" s="168">
        <f ca="1">IF($C52-Q$1&lt;År1,0,P51*(1-VLOOKUP($A52,[1]Hugst!$R$5:$W$9,MATCH(ROUNDUP((Q$1)/10,0)*10,[1]Hugst!$R$4:$W$4,0))))</f>
        <v>862.21809455606194</v>
      </c>
      <c r="R52" s="168">
        <f ca="1">IF($C52-R$1&lt;År1,0,Q51*(1-VLOOKUP($A52,[1]Hugst!$R$5:$W$9,MATCH(ROUNDUP((R$1)/10,0)*10,[1]Hugst!$R$4:$W$4,0))))</f>
        <v>865.29196177231711</v>
      </c>
      <c r="S52" s="168">
        <f ca="1">IF($C52-S$1&lt;År1,0,R51*(1-VLOOKUP($A52,[1]Hugst!$R$5:$W$9,MATCH(ROUNDUP((S$1)/10,0)*10,[1]Hugst!$R$4:$W$4,0))))</f>
        <v>868.38127555754249</v>
      </c>
      <c r="T52" s="168">
        <f ca="1">IF($C52-T$1&lt;År1,0,S51*(1-VLOOKUP($A52,[1]Hugst!$R$5:$W$9,MATCH(ROUNDUP((T$1)/10,0)*10,[1]Hugst!$R$4:$W$4,0))))</f>
        <v>871.48611353258525</v>
      </c>
      <c r="U52" s="168">
        <f ca="1">IF($C52-U$1&lt;År1,0,T51*(1-VLOOKUP($A52,[1]Hugst!$R$5:$W$9,MATCH(ROUNDUP((U$1)/10,0)*10,[1]Hugst!$R$4:$W$4,0))))</f>
        <v>874.60655370854579</v>
      </c>
      <c r="V52" s="168">
        <f ca="1">IF($C52-V$1&lt;År1,0,U51*(1-VLOOKUP($A52,[1]Hugst!$R$5:$W$9,MATCH(ROUNDUP((V$1)/10,0)*10,[1]Hugst!$R$4:$W$4,0))))</f>
        <v>877.7426744883785</v>
      </c>
      <c r="W52" s="168">
        <f ca="1">IF($C52-W$1&lt;År1,0,V51*(1-VLOOKUP($A52,[1]Hugst!$R$5:$W$9,MATCH(ROUNDUP((W$1)/10,0)*10,[1]Hugst!$R$4:$W$4,0))))</f>
        <v>880.89455466914728</v>
      </c>
      <c r="X52" s="168">
        <f ca="1">IF($C52-X$1&lt;År1,0,W51*(1-VLOOKUP($A52,[1]Hugst!$R$5:$W$9,MATCH(ROUNDUP((X$1)/10,0)*10,[1]Hugst!$R$4:$W$4,0))))</f>
        <v>884.0622734437718</v>
      </c>
      <c r="Y52" s="168">
        <f ca="1">IF($C52-Y$1&lt;År1,0,X51*(1-VLOOKUP($A52,[1]Hugst!$R$5:$W$9,MATCH(ROUNDUP((Y$1)/10,0)*10,[1]Hugst!$R$4:$W$4,0))))</f>
        <v>887.24591040319569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*VLOOKUP(A53,Skovbrug!$A$13:$D$17,IF('Skovbrug-alder'!C53&lt;=År2,3,4),FALSE)-IF(C53&gt;2020,SUM(INDEX($C$1:$D$311,MATCH(1,(2020=$C$1:$C$311)*(B53=$B$1:$B$311)*(A53=$A$1:$A$311),0),2):D52),0))</f>
        <v>575.99027177679818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826.50879029531711</v>
      </c>
      <c r="G53" s="168">
        <f ca="1">IF($C53-G$1&lt;År1,0,F52*(1-VLOOKUP($A53,[1]Hugst!$R$5:$W$9,MATCH(ROUNDUP((G$1)/10,0)*10,[1]Hugst!$R$4:$W$4,0))))</f>
        <v>829.40321377157738</v>
      </c>
      <c r="H53" s="168">
        <f ca="1">IF($C53-H$1&lt;År1,0,G52*(1-VLOOKUP($A53,[1]Hugst!$R$5:$W$9,MATCH(ROUNDUP((H$1)/10,0)*10,[1]Hugst!$R$4:$W$4,0))))</f>
        <v>832.31218208945279</v>
      </c>
      <c r="I53" s="168">
        <f ca="1">IF($C53-I$1&lt;År1,0,H52*(1-VLOOKUP($A53,[1]Hugst!$R$5:$W$9,MATCH(ROUNDUP((I$1)/10,0)*10,[1]Hugst!$R$4:$W$4,0))))</f>
        <v>835.23576833854236</v>
      </c>
      <c r="J53" s="168">
        <f ca="1">IF($C53-J$1&lt;År1,0,I52*(1-VLOOKUP($A53,[1]Hugst!$R$5:$W$9,MATCH(ROUNDUP((J$1)/10,0)*10,[1]Hugst!$R$4:$W$4,0))))</f>
        <v>838.17404597582276</v>
      </c>
      <c r="K53" s="168">
        <f ca="1">IF($C53-K$1&lt;År1,0,J52*(1-VLOOKUP($A53,[1]Hugst!$R$5:$W$9,MATCH(ROUNDUP((K$1)/10,0)*10,[1]Hugst!$R$4:$W$4,0))))</f>
        <v>841.12708882738002</v>
      </c>
      <c r="L53" s="168">
        <f ca="1">IF($C53-L$1&lt;År1,0,K52*(1-VLOOKUP($A53,[1]Hugst!$R$5:$W$9,MATCH(ROUNDUP((L$1)/10,0)*10,[1]Hugst!$R$4:$W$4,0))))</f>
        <v>844.09497109022846</v>
      </c>
      <c r="M53" s="168">
        <f ca="1">IF($C53-M$1&lt;År1,0,L52*(1-VLOOKUP($A53,[1]Hugst!$R$5:$W$9,MATCH(ROUNDUP((M$1)/10,0)*10,[1]Hugst!$R$4:$W$4,0))))</f>
        <v>847.07776733430433</v>
      </c>
      <c r="N53" s="168">
        <f ca="1">IF($C53-N$1&lt;År1,0,M52*(1-VLOOKUP($A53,[1]Hugst!$R$5:$W$9,MATCH(ROUNDUP((N$1)/10,0)*10,[1]Hugst!$R$4:$W$4,0))))</f>
        <v>850.07555250424116</v>
      </c>
      <c r="O53" s="168">
        <f ca="1">IF($C53-O$1&lt;År1,0,N52*(1-VLOOKUP($A53,[1]Hugst!$R$5:$W$9,MATCH(ROUNDUP((O$1)/10,0)*10,[1]Hugst!$R$4:$W$4,0))))</f>
        <v>853.08840192123239</v>
      </c>
      <c r="P53" s="168">
        <f ca="1">IF($C53-P$1&lt;År1,0,O52*(1-VLOOKUP($A53,[1]Hugst!$R$5:$W$9,MATCH(ROUNDUP((P$1)/10,0)*10,[1]Hugst!$R$4:$W$4,0))))</f>
        <v>856.11639128509773</v>
      </c>
      <c r="Q53" s="168">
        <f ca="1">IF($C53-Q$1&lt;År1,0,P52*(1-VLOOKUP($A53,[1]Hugst!$R$5:$W$9,MATCH(ROUNDUP((Q$1)/10,0)*10,[1]Hugst!$R$4:$W$4,0))))</f>
        <v>859.15959667586935</v>
      </c>
      <c r="R53" s="168">
        <f ca="1">IF($C53-R$1&lt;År1,0,Q52*(1-VLOOKUP($A53,[1]Hugst!$R$5:$W$9,MATCH(ROUNDUP((R$1)/10,0)*10,[1]Hugst!$R$4:$W$4,0))))</f>
        <v>862.21809455606194</v>
      </c>
      <c r="S53" s="168">
        <f ca="1">IF($C53-S$1&lt;År1,0,R52*(1-VLOOKUP($A53,[1]Hugst!$R$5:$W$9,MATCH(ROUNDUP((S$1)/10,0)*10,[1]Hugst!$R$4:$W$4,0))))</f>
        <v>865.29196177231711</v>
      </c>
      <c r="T53" s="168">
        <f ca="1">IF($C53-T$1&lt;År1,0,S52*(1-VLOOKUP($A53,[1]Hugst!$R$5:$W$9,MATCH(ROUNDUP((T$1)/10,0)*10,[1]Hugst!$R$4:$W$4,0))))</f>
        <v>868.38127555754249</v>
      </c>
      <c r="U53" s="168">
        <f ca="1">IF($C53-U$1&lt;År1,0,T52*(1-VLOOKUP($A53,[1]Hugst!$R$5:$W$9,MATCH(ROUNDUP((U$1)/10,0)*10,[1]Hugst!$R$4:$W$4,0))))</f>
        <v>871.48611353258525</v>
      </c>
      <c r="V53" s="168">
        <f ca="1">IF($C53-V$1&lt;År1,0,U52*(1-VLOOKUP($A53,[1]Hugst!$R$5:$W$9,MATCH(ROUNDUP((V$1)/10,0)*10,[1]Hugst!$R$4:$W$4,0))))</f>
        <v>874.60655370854579</v>
      </c>
      <c r="W53" s="168">
        <f ca="1">IF($C53-W$1&lt;År1,0,V52*(1-VLOOKUP($A53,[1]Hugst!$R$5:$W$9,MATCH(ROUNDUP((W$1)/10,0)*10,[1]Hugst!$R$4:$W$4,0))))</f>
        <v>877.7426744883785</v>
      </c>
      <c r="X53" s="168">
        <f ca="1">IF($C53-X$1&lt;År1,0,W52*(1-VLOOKUP($A53,[1]Hugst!$R$5:$W$9,MATCH(ROUNDUP((X$1)/10,0)*10,[1]Hugst!$R$4:$W$4,0))))</f>
        <v>880.89455466914728</v>
      </c>
      <c r="Y53" s="168">
        <f ca="1">IF($C53-Y$1&lt;År1,0,X52*(1-VLOOKUP($A53,[1]Hugst!$R$5:$W$9,MATCH(ROUNDUP((Y$1)/10,0)*10,[1]Hugst!$R$4:$W$4,0))))</f>
        <v>884.0622734437718</v>
      </c>
      <c r="Z53" s="168">
        <f ca="1">IF($C53-Z$1&lt;År1,0,Y52*(1-VLOOKUP($A53,[1]Hugst!$R$5:$W$9,MATCH(ROUNDUP((Z$1)/10,0)*10,[1]Hugst!$R$4:$W$4,0))))</f>
        <v>887.24591040319569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*VLOOKUP(A54,Skovbrug!$A$13:$D$17,IF('Skovbrug-alder'!C54&lt;=År2,3,4),FALSE)-IF(C54&gt;2020,SUM(INDEX($C$1:$D$311,MATCH(1,(2020=$C$1:$C$311)*(B54=$B$1:$B$311)*(A54=$A$1:$A$311),0),2):D53),0))</f>
        <v>573.1103204179235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823.62883893644243</v>
      </c>
      <c r="G54" s="168">
        <f ca="1">IF($C54-G$1&lt;År1,0,F53*(1-VLOOKUP($A54,[1]Hugst!$R$5:$W$9,MATCH(ROUNDUP((G$1)/10,0)*10,[1]Hugst!$R$4:$W$4,0))))</f>
        <v>826.50879029531711</v>
      </c>
      <c r="H54" s="168">
        <f ca="1">IF($C54-H$1&lt;År1,0,G53*(1-VLOOKUP($A54,[1]Hugst!$R$5:$W$9,MATCH(ROUNDUP((H$1)/10,0)*10,[1]Hugst!$R$4:$W$4,0))))</f>
        <v>829.40321377157738</v>
      </c>
      <c r="I54" s="168">
        <f ca="1">IF($C54-I$1&lt;År1,0,H53*(1-VLOOKUP($A54,[1]Hugst!$R$5:$W$9,MATCH(ROUNDUP((I$1)/10,0)*10,[1]Hugst!$R$4:$W$4,0))))</f>
        <v>832.31218208945279</v>
      </c>
      <c r="J54" s="168">
        <f ca="1">IF($C54-J$1&lt;År1,0,I53*(1-VLOOKUP($A54,[1]Hugst!$R$5:$W$9,MATCH(ROUNDUP((J$1)/10,0)*10,[1]Hugst!$R$4:$W$4,0))))</f>
        <v>835.23576833854236</v>
      </c>
      <c r="K54" s="168">
        <f ca="1">IF($C54-K$1&lt;År1,0,J53*(1-VLOOKUP($A54,[1]Hugst!$R$5:$W$9,MATCH(ROUNDUP((K$1)/10,0)*10,[1]Hugst!$R$4:$W$4,0))))</f>
        <v>838.17404597582276</v>
      </c>
      <c r="L54" s="168">
        <f ca="1">IF($C54-L$1&lt;År1,0,K53*(1-VLOOKUP($A54,[1]Hugst!$R$5:$W$9,MATCH(ROUNDUP((L$1)/10,0)*10,[1]Hugst!$R$4:$W$4,0))))</f>
        <v>841.12708882738002</v>
      </c>
      <c r="M54" s="168">
        <f ca="1">IF($C54-M$1&lt;År1,0,L53*(1-VLOOKUP($A54,[1]Hugst!$R$5:$W$9,MATCH(ROUNDUP((M$1)/10,0)*10,[1]Hugst!$R$4:$W$4,0))))</f>
        <v>844.09497109022846</v>
      </c>
      <c r="N54" s="168">
        <f ca="1">IF($C54-N$1&lt;År1,0,M53*(1-VLOOKUP($A54,[1]Hugst!$R$5:$W$9,MATCH(ROUNDUP((N$1)/10,0)*10,[1]Hugst!$R$4:$W$4,0))))</f>
        <v>847.07776733430433</v>
      </c>
      <c r="O54" s="168">
        <f ca="1">IF($C54-O$1&lt;År1,0,N53*(1-VLOOKUP($A54,[1]Hugst!$R$5:$W$9,MATCH(ROUNDUP((O$1)/10,0)*10,[1]Hugst!$R$4:$W$4,0))))</f>
        <v>850.07555250424116</v>
      </c>
      <c r="P54" s="168">
        <f ca="1">IF($C54-P$1&lt;År1,0,O53*(1-VLOOKUP($A54,[1]Hugst!$R$5:$W$9,MATCH(ROUNDUP((P$1)/10,0)*10,[1]Hugst!$R$4:$W$4,0))))</f>
        <v>853.08840192123239</v>
      </c>
      <c r="Q54" s="168">
        <f ca="1">IF($C54-Q$1&lt;År1,0,P53*(1-VLOOKUP($A54,[1]Hugst!$R$5:$W$9,MATCH(ROUNDUP((Q$1)/10,0)*10,[1]Hugst!$R$4:$W$4,0))))</f>
        <v>856.11639128509773</v>
      </c>
      <c r="R54" s="168">
        <f ca="1">IF($C54-R$1&lt;År1,0,Q53*(1-VLOOKUP($A54,[1]Hugst!$R$5:$W$9,MATCH(ROUNDUP((R$1)/10,0)*10,[1]Hugst!$R$4:$W$4,0))))</f>
        <v>859.15959667586935</v>
      </c>
      <c r="S54" s="168">
        <f ca="1">IF($C54-S$1&lt;År1,0,R53*(1-VLOOKUP($A54,[1]Hugst!$R$5:$W$9,MATCH(ROUNDUP((S$1)/10,0)*10,[1]Hugst!$R$4:$W$4,0))))</f>
        <v>862.21809455606194</v>
      </c>
      <c r="T54" s="168">
        <f ca="1">IF($C54-T$1&lt;År1,0,S53*(1-VLOOKUP($A54,[1]Hugst!$R$5:$W$9,MATCH(ROUNDUP((T$1)/10,0)*10,[1]Hugst!$R$4:$W$4,0))))</f>
        <v>865.29196177231711</v>
      </c>
      <c r="U54" s="168">
        <f ca="1">IF($C54-U$1&lt;År1,0,T53*(1-VLOOKUP($A54,[1]Hugst!$R$5:$W$9,MATCH(ROUNDUP((U$1)/10,0)*10,[1]Hugst!$R$4:$W$4,0))))</f>
        <v>868.38127555754249</v>
      </c>
      <c r="V54" s="168">
        <f ca="1">IF($C54-V$1&lt;År1,0,U53*(1-VLOOKUP($A54,[1]Hugst!$R$5:$W$9,MATCH(ROUNDUP((V$1)/10,0)*10,[1]Hugst!$R$4:$W$4,0))))</f>
        <v>871.48611353258525</v>
      </c>
      <c r="W54" s="168">
        <f ca="1">IF($C54-W$1&lt;År1,0,V53*(1-VLOOKUP($A54,[1]Hugst!$R$5:$W$9,MATCH(ROUNDUP((W$1)/10,0)*10,[1]Hugst!$R$4:$W$4,0))))</f>
        <v>874.60655370854579</v>
      </c>
      <c r="X54" s="168">
        <f ca="1">IF($C54-X$1&lt;År1,0,W53*(1-VLOOKUP($A54,[1]Hugst!$R$5:$W$9,MATCH(ROUNDUP((X$1)/10,0)*10,[1]Hugst!$R$4:$W$4,0))))</f>
        <v>877.7426744883785</v>
      </c>
      <c r="Y54" s="168">
        <f ca="1">IF($C54-Y$1&lt;År1,0,X53*(1-VLOOKUP($A54,[1]Hugst!$R$5:$W$9,MATCH(ROUNDUP((Y$1)/10,0)*10,[1]Hugst!$R$4:$W$4,0))))</f>
        <v>880.89455466914728</v>
      </c>
      <c r="Z54" s="168">
        <f ca="1">IF($C54-Z$1&lt;År1,0,Y53*(1-VLOOKUP($A54,[1]Hugst!$R$5:$W$9,MATCH(ROUNDUP((Z$1)/10,0)*10,[1]Hugst!$R$4:$W$4,0))))</f>
        <v>884.0622734437718</v>
      </c>
      <c r="AA54" s="168">
        <f ca="1">IF($C54-AA$1&lt;År1,0,Z53*(1-VLOOKUP($A54,[1]Hugst!$R$5:$W$9,MATCH(ROUNDUP((AA$1)/10,0)*10,[1]Hugst!$R$4:$W$4,0))))</f>
        <v>887.24591040319569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*VLOOKUP(A55,Skovbrug!$A$13:$D$17,IF('Skovbrug-alder'!C55&lt;=År2,3,4),FALSE)-IF(C55&gt;2020,SUM(INDEX($C$1:$D$311,MATCH(1,(2020=$C$1:$C$311)*(B55=$B$1:$B$311)*(A55=$A$1:$A$311),0),2):D54),0))</f>
        <v>570.24476881582814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820.76328733434707</v>
      </c>
      <c r="G55" s="168">
        <f ca="1">IF($C55-G$1&lt;År1,0,F54*(1-VLOOKUP($A55,[1]Hugst!$R$5:$W$9,MATCH(ROUNDUP((G$1)/10,0)*10,[1]Hugst!$R$4:$W$4,0))))</f>
        <v>823.62883893644243</v>
      </c>
      <c r="H55" s="168">
        <f ca="1">IF($C55-H$1&lt;År1,0,G54*(1-VLOOKUP($A55,[1]Hugst!$R$5:$W$9,MATCH(ROUNDUP((H$1)/10,0)*10,[1]Hugst!$R$4:$W$4,0))))</f>
        <v>826.50879029531711</v>
      </c>
      <c r="I55" s="168">
        <f ca="1">IF($C55-I$1&lt;År1,0,H54*(1-VLOOKUP($A55,[1]Hugst!$R$5:$W$9,MATCH(ROUNDUP((I$1)/10,0)*10,[1]Hugst!$R$4:$W$4,0))))</f>
        <v>829.40321377157738</v>
      </c>
      <c r="J55" s="168">
        <f ca="1">IF($C55-J$1&lt;År1,0,I54*(1-VLOOKUP($A55,[1]Hugst!$R$5:$W$9,MATCH(ROUNDUP((J$1)/10,0)*10,[1]Hugst!$R$4:$W$4,0))))</f>
        <v>832.31218208945279</v>
      </c>
      <c r="K55" s="168">
        <f ca="1">IF($C55-K$1&lt;År1,0,J54*(1-VLOOKUP($A55,[1]Hugst!$R$5:$W$9,MATCH(ROUNDUP((K$1)/10,0)*10,[1]Hugst!$R$4:$W$4,0))))</f>
        <v>835.23576833854236</v>
      </c>
      <c r="L55" s="168">
        <f ca="1">IF($C55-L$1&lt;År1,0,K54*(1-VLOOKUP($A55,[1]Hugst!$R$5:$W$9,MATCH(ROUNDUP((L$1)/10,0)*10,[1]Hugst!$R$4:$W$4,0))))</f>
        <v>838.17404597582276</v>
      </c>
      <c r="M55" s="168">
        <f ca="1">IF($C55-M$1&lt;År1,0,L54*(1-VLOOKUP($A55,[1]Hugst!$R$5:$W$9,MATCH(ROUNDUP((M$1)/10,0)*10,[1]Hugst!$R$4:$W$4,0))))</f>
        <v>841.12708882738002</v>
      </c>
      <c r="N55" s="168">
        <f ca="1">IF($C55-N$1&lt;År1,0,M54*(1-VLOOKUP($A55,[1]Hugst!$R$5:$W$9,MATCH(ROUNDUP((N$1)/10,0)*10,[1]Hugst!$R$4:$W$4,0))))</f>
        <v>844.09497109022846</v>
      </c>
      <c r="O55" s="168">
        <f ca="1">IF($C55-O$1&lt;År1,0,N54*(1-VLOOKUP($A55,[1]Hugst!$R$5:$W$9,MATCH(ROUNDUP((O$1)/10,0)*10,[1]Hugst!$R$4:$W$4,0))))</f>
        <v>847.07776733430433</v>
      </c>
      <c r="P55" s="168">
        <f ca="1">IF($C55-P$1&lt;År1,0,O54*(1-VLOOKUP($A55,[1]Hugst!$R$5:$W$9,MATCH(ROUNDUP((P$1)/10,0)*10,[1]Hugst!$R$4:$W$4,0))))</f>
        <v>850.07555250424116</v>
      </c>
      <c r="Q55" s="168">
        <f ca="1">IF($C55-Q$1&lt;År1,0,P54*(1-VLOOKUP($A55,[1]Hugst!$R$5:$W$9,MATCH(ROUNDUP((Q$1)/10,0)*10,[1]Hugst!$R$4:$W$4,0))))</f>
        <v>853.08840192123239</v>
      </c>
      <c r="R55" s="168">
        <f ca="1">IF($C55-R$1&lt;År1,0,Q54*(1-VLOOKUP($A55,[1]Hugst!$R$5:$W$9,MATCH(ROUNDUP((R$1)/10,0)*10,[1]Hugst!$R$4:$W$4,0))))</f>
        <v>856.11639128509773</v>
      </c>
      <c r="S55" s="168">
        <f ca="1">IF($C55-S$1&lt;År1,0,R54*(1-VLOOKUP($A55,[1]Hugst!$R$5:$W$9,MATCH(ROUNDUP((S$1)/10,0)*10,[1]Hugst!$R$4:$W$4,0))))</f>
        <v>859.15959667586935</v>
      </c>
      <c r="T55" s="168">
        <f ca="1">IF($C55-T$1&lt;År1,0,S54*(1-VLOOKUP($A55,[1]Hugst!$R$5:$W$9,MATCH(ROUNDUP((T$1)/10,0)*10,[1]Hugst!$R$4:$W$4,0))))</f>
        <v>862.21809455606194</v>
      </c>
      <c r="U55" s="168">
        <f ca="1">IF($C55-U$1&lt;År1,0,T54*(1-VLOOKUP($A55,[1]Hugst!$R$5:$W$9,MATCH(ROUNDUP((U$1)/10,0)*10,[1]Hugst!$R$4:$W$4,0))))</f>
        <v>865.29196177231711</v>
      </c>
      <c r="V55" s="168">
        <f ca="1">IF($C55-V$1&lt;År1,0,U54*(1-VLOOKUP($A55,[1]Hugst!$R$5:$W$9,MATCH(ROUNDUP((V$1)/10,0)*10,[1]Hugst!$R$4:$W$4,0))))</f>
        <v>868.38127555754249</v>
      </c>
      <c r="W55" s="168">
        <f ca="1">IF($C55-W$1&lt;År1,0,V54*(1-VLOOKUP($A55,[1]Hugst!$R$5:$W$9,MATCH(ROUNDUP((W$1)/10,0)*10,[1]Hugst!$R$4:$W$4,0))))</f>
        <v>871.48611353258525</v>
      </c>
      <c r="X55" s="168">
        <f ca="1">IF($C55-X$1&lt;År1,0,W54*(1-VLOOKUP($A55,[1]Hugst!$R$5:$W$9,MATCH(ROUNDUP((X$1)/10,0)*10,[1]Hugst!$R$4:$W$4,0))))</f>
        <v>874.60655370854579</v>
      </c>
      <c r="Y55" s="168">
        <f ca="1">IF($C55-Y$1&lt;År1,0,X54*(1-VLOOKUP($A55,[1]Hugst!$R$5:$W$9,MATCH(ROUNDUP((Y$1)/10,0)*10,[1]Hugst!$R$4:$W$4,0))))</f>
        <v>877.7426744883785</v>
      </c>
      <c r="Z55" s="168">
        <f ca="1">IF($C55-Z$1&lt;År1,0,Y54*(1-VLOOKUP($A55,[1]Hugst!$R$5:$W$9,MATCH(ROUNDUP((Z$1)/10,0)*10,[1]Hugst!$R$4:$W$4,0))))</f>
        <v>880.89455466914728</v>
      </c>
      <c r="AA55" s="168">
        <f ca="1">IF($C55-AA$1&lt;År1,0,Z54*(1-VLOOKUP($A55,[1]Hugst!$R$5:$W$9,MATCH(ROUNDUP((AA$1)/10,0)*10,[1]Hugst!$R$4:$W$4,0))))</f>
        <v>884.0622734437718</v>
      </c>
      <c r="AB55" s="168">
        <f ca="1">IF($C55-AB$1&lt;År1,0,AA54*(1-VLOOKUP($A55,[1]Hugst!$R$5:$W$9,MATCH(ROUNDUP((AB$1)/10,0)*10,[1]Hugst!$R$4:$W$4,0))))</f>
        <v>887.24591040319569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*VLOOKUP(A56,Skovbrug!$A$13:$D$17,IF('Skovbrug-alder'!C56&lt;=År2,3,4),FALSE)-IF(C56&gt;2020,SUM(INDEX($C$1:$D$311,MATCH(1,(2020=$C$1:$C$311)*(B56=$B$1:$B$311)*(A56=$A$1:$A$311),0),2):D55),0))</f>
        <v>567.39354497175373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817.91206349027266</v>
      </c>
      <c r="G56" s="168">
        <f ca="1">IF($C56-G$1&lt;År1,0,F55*(1-VLOOKUP($A56,[1]Hugst!$R$5:$W$9,MATCH(ROUNDUP((G$1)/10,0)*10,[1]Hugst!$R$4:$W$4,0))))</f>
        <v>820.76328733434707</v>
      </c>
      <c r="H56" s="168">
        <f ca="1">IF($C56-H$1&lt;År1,0,G55*(1-VLOOKUP($A56,[1]Hugst!$R$5:$W$9,MATCH(ROUNDUP((H$1)/10,0)*10,[1]Hugst!$R$4:$W$4,0))))</f>
        <v>823.62883893644243</v>
      </c>
      <c r="I56" s="168">
        <f ca="1">IF($C56-I$1&lt;År1,0,H55*(1-VLOOKUP($A56,[1]Hugst!$R$5:$W$9,MATCH(ROUNDUP((I$1)/10,0)*10,[1]Hugst!$R$4:$W$4,0))))</f>
        <v>826.50879029531711</v>
      </c>
      <c r="J56" s="168">
        <f ca="1">IF($C56-J$1&lt;År1,0,I55*(1-VLOOKUP($A56,[1]Hugst!$R$5:$W$9,MATCH(ROUNDUP((J$1)/10,0)*10,[1]Hugst!$R$4:$W$4,0))))</f>
        <v>829.40321377157738</v>
      </c>
      <c r="K56" s="168">
        <f ca="1">IF($C56-K$1&lt;År1,0,J55*(1-VLOOKUP($A56,[1]Hugst!$R$5:$W$9,MATCH(ROUNDUP((K$1)/10,0)*10,[1]Hugst!$R$4:$W$4,0))))</f>
        <v>832.31218208945279</v>
      </c>
      <c r="L56" s="168">
        <f ca="1">IF($C56-L$1&lt;År1,0,K55*(1-VLOOKUP($A56,[1]Hugst!$R$5:$W$9,MATCH(ROUNDUP((L$1)/10,0)*10,[1]Hugst!$R$4:$W$4,0))))</f>
        <v>835.23576833854236</v>
      </c>
      <c r="M56" s="168">
        <f ca="1">IF($C56-M$1&lt;År1,0,L55*(1-VLOOKUP($A56,[1]Hugst!$R$5:$W$9,MATCH(ROUNDUP((M$1)/10,0)*10,[1]Hugst!$R$4:$W$4,0))))</f>
        <v>838.17404597582276</v>
      </c>
      <c r="N56" s="168">
        <f ca="1">IF($C56-N$1&lt;År1,0,M55*(1-VLOOKUP($A56,[1]Hugst!$R$5:$W$9,MATCH(ROUNDUP((N$1)/10,0)*10,[1]Hugst!$R$4:$W$4,0))))</f>
        <v>841.12708882738002</v>
      </c>
      <c r="O56" s="168">
        <f ca="1">IF($C56-O$1&lt;År1,0,N55*(1-VLOOKUP($A56,[1]Hugst!$R$5:$W$9,MATCH(ROUNDUP((O$1)/10,0)*10,[1]Hugst!$R$4:$W$4,0))))</f>
        <v>844.09497109022846</v>
      </c>
      <c r="P56" s="168">
        <f ca="1">IF($C56-P$1&lt;År1,0,O55*(1-VLOOKUP($A56,[1]Hugst!$R$5:$W$9,MATCH(ROUNDUP((P$1)/10,0)*10,[1]Hugst!$R$4:$W$4,0))))</f>
        <v>847.07776733430433</v>
      </c>
      <c r="Q56" s="168">
        <f ca="1">IF($C56-Q$1&lt;År1,0,P55*(1-VLOOKUP($A56,[1]Hugst!$R$5:$W$9,MATCH(ROUNDUP((Q$1)/10,0)*10,[1]Hugst!$R$4:$W$4,0))))</f>
        <v>850.07555250424116</v>
      </c>
      <c r="R56" s="168">
        <f ca="1">IF($C56-R$1&lt;År1,0,Q55*(1-VLOOKUP($A56,[1]Hugst!$R$5:$W$9,MATCH(ROUNDUP((R$1)/10,0)*10,[1]Hugst!$R$4:$W$4,0))))</f>
        <v>853.08840192123239</v>
      </c>
      <c r="S56" s="168">
        <f ca="1">IF($C56-S$1&lt;År1,0,R55*(1-VLOOKUP($A56,[1]Hugst!$R$5:$W$9,MATCH(ROUNDUP((S$1)/10,0)*10,[1]Hugst!$R$4:$W$4,0))))</f>
        <v>856.11639128509773</v>
      </c>
      <c r="T56" s="168">
        <f ca="1">IF($C56-T$1&lt;År1,0,S55*(1-VLOOKUP($A56,[1]Hugst!$R$5:$W$9,MATCH(ROUNDUP((T$1)/10,0)*10,[1]Hugst!$R$4:$W$4,0))))</f>
        <v>859.15959667586935</v>
      </c>
      <c r="U56" s="168">
        <f ca="1">IF($C56-U$1&lt;År1,0,T55*(1-VLOOKUP($A56,[1]Hugst!$R$5:$W$9,MATCH(ROUNDUP((U$1)/10,0)*10,[1]Hugst!$R$4:$W$4,0))))</f>
        <v>862.21809455606194</v>
      </c>
      <c r="V56" s="168">
        <f ca="1">IF($C56-V$1&lt;År1,0,U55*(1-VLOOKUP($A56,[1]Hugst!$R$5:$W$9,MATCH(ROUNDUP((V$1)/10,0)*10,[1]Hugst!$R$4:$W$4,0))))</f>
        <v>865.29196177231711</v>
      </c>
      <c r="W56" s="168">
        <f ca="1">IF($C56-W$1&lt;År1,0,V55*(1-VLOOKUP($A56,[1]Hugst!$R$5:$W$9,MATCH(ROUNDUP((W$1)/10,0)*10,[1]Hugst!$R$4:$W$4,0))))</f>
        <v>868.38127555754249</v>
      </c>
      <c r="X56" s="168">
        <f ca="1">IF($C56-X$1&lt;År1,0,W55*(1-VLOOKUP($A56,[1]Hugst!$R$5:$W$9,MATCH(ROUNDUP((X$1)/10,0)*10,[1]Hugst!$R$4:$W$4,0))))</f>
        <v>871.48611353258525</v>
      </c>
      <c r="Y56" s="168">
        <f ca="1">IF($C56-Y$1&lt;År1,0,X55*(1-VLOOKUP($A56,[1]Hugst!$R$5:$W$9,MATCH(ROUNDUP((Y$1)/10,0)*10,[1]Hugst!$R$4:$W$4,0))))</f>
        <v>874.60655370854579</v>
      </c>
      <c r="Z56" s="168">
        <f ca="1">IF($C56-Z$1&lt;År1,0,Y55*(1-VLOOKUP($A56,[1]Hugst!$R$5:$W$9,MATCH(ROUNDUP((Z$1)/10,0)*10,[1]Hugst!$R$4:$W$4,0))))</f>
        <v>877.7426744883785</v>
      </c>
      <c r="AA56" s="168">
        <f ca="1">IF($C56-AA$1&lt;År1,0,Z55*(1-VLOOKUP($A56,[1]Hugst!$R$5:$W$9,MATCH(ROUNDUP((AA$1)/10,0)*10,[1]Hugst!$R$4:$W$4,0))))</f>
        <v>880.89455466914728</v>
      </c>
      <c r="AB56" s="168">
        <f ca="1">IF($C56-AB$1&lt;År1,0,AA55*(1-VLOOKUP($A56,[1]Hugst!$R$5:$W$9,MATCH(ROUNDUP((AB$1)/10,0)*10,[1]Hugst!$R$4:$W$4,0))))</f>
        <v>884.0622734437718</v>
      </c>
      <c r="AC56" s="168">
        <f ca="1">IF($C56-AC$1&lt;År1,0,AB55*(1-VLOOKUP($A56,[1]Hugst!$R$5:$W$9,MATCH(ROUNDUP((AC$1)/10,0)*10,[1]Hugst!$R$4:$W$4,0))))</f>
        <v>887.24591040319569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*VLOOKUP(A57,Skovbrug!$A$13:$D$17,IF('Skovbrug-alder'!C57&lt;=År2,3,4),FALSE)-IF(C57&gt;2020,SUM(INDEX($C$1:$D$311,MATCH(1,(2020=$C$1:$C$311)*(B57=$B$1:$B$311)*(A57=$A$1:$A$311),0),2):D56),0))</f>
        <v>564.55657724688353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815.07509576540247</v>
      </c>
      <c r="G57" s="168">
        <f ca="1">IF($C57-G$1&lt;År1,0,F56*(1-VLOOKUP($A57,[1]Hugst!$R$5:$W$9,MATCH(ROUNDUP((G$1)/10,0)*10,[1]Hugst!$R$4:$W$4,0))))</f>
        <v>817.91206349027266</v>
      </c>
      <c r="H57" s="168">
        <f ca="1">IF($C57-H$1&lt;År1,0,G56*(1-VLOOKUP($A57,[1]Hugst!$R$5:$W$9,MATCH(ROUNDUP((H$1)/10,0)*10,[1]Hugst!$R$4:$W$4,0))))</f>
        <v>820.76328733434707</v>
      </c>
      <c r="I57" s="168">
        <f ca="1">IF($C57-I$1&lt;År1,0,H56*(1-VLOOKUP($A57,[1]Hugst!$R$5:$W$9,MATCH(ROUNDUP((I$1)/10,0)*10,[1]Hugst!$R$4:$W$4,0))))</f>
        <v>823.62883893644243</v>
      </c>
      <c r="J57" s="168">
        <f ca="1">IF($C57-J$1&lt;År1,0,I56*(1-VLOOKUP($A57,[1]Hugst!$R$5:$W$9,MATCH(ROUNDUP((J$1)/10,0)*10,[1]Hugst!$R$4:$W$4,0))))</f>
        <v>826.50879029531711</v>
      </c>
      <c r="K57" s="168">
        <f ca="1">IF($C57-K$1&lt;År1,0,J56*(1-VLOOKUP($A57,[1]Hugst!$R$5:$W$9,MATCH(ROUNDUP((K$1)/10,0)*10,[1]Hugst!$R$4:$W$4,0))))</f>
        <v>829.40321377157738</v>
      </c>
      <c r="L57" s="168">
        <f ca="1">IF($C57-L$1&lt;År1,0,K56*(1-VLOOKUP($A57,[1]Hugst!$R$5:$W$9,MATCH(ROUNDUP((L$1)/10,0)*10,[1]Hugst!$R$4:$W$4,0))))</f>
        <v>832.31218208945279</v>
      </c>
      <c r="M57" s="168">
        <f ca="1">IF($C57-M$1&lt;År1,0,L56*(1-VLOOKUP($A57,[1]Hugst!$R$5:$W$9,MATCH(ROUNDUP((M$1)/10,0)*10,[1]Hugst!$R$4:$W$4,0))))</f>
        <v>835.23576833854236</v>
      </c>
      <c r="N57" s="168">
        <f ca="1">IF($C57-N$1&lt;År1,0,M56*(1-VLOOKUP($A57,[1]Hugst!$R$5:$W$9,MATCH(ROUNDUP((N$1)/10,0)*10,[1]Hugst!$R$4:$W$4,0))))</f>
        <v>838.17404597582276</v>
      </c>
      <c r="O57" s="168">
        <f ca="1">IF($C57-O$1&lt;År1,0,N56*(1-VLOOKUP($A57,[1]Hugst!$R$5:$W$9,MATCH(ROUNDUP((O$1)/10,0)*10,[1]Hugst!$R$4:$W$4,0))))</f>
        <v>841.12708882738002</v>
      </c>
      <c r="P57" s="168">
        <f ca="1">IF($C57-P$1&lt;År1,0,O56*(1-VLOOKUP($A57,[1]Hugst!$R$5:$W$9,MATCH(ROUNDUP((P$1)/10,0)*10,[1]Hugst!$R$4:$W$4,0))))</f>
        <v>844.09497109022846</v>
      </c>
      <c r="Q57" s="168">
        <f ca="1">IF($C57-Q$1&lt;År1,0,P56*(1-VLOOKUP($A57,[1]Hugst!$R$5:$W$9,MATCH(ROUNDUP((Q$1)/10,0)*10,[1]Hugst!$R$4:$W$4,0))))</f>
        <v>847.07776733430433</v>
      </c>
      <c r="R57" s="168">
        <f ca="1">IF($C57-R$1&lt;År1,0,Q56*(1-VLOOKUP($A57,[1]Hugst!$R$5:$W$9,MATCH(ROUNDUP((R$1)/10,0)*10,[1]Hugst!$R$4:$W$4,0))))</f>
        <v>850.07555250424116</v>
      </c>
      <c r="S57" s="168">
        <f ca="1">IF($C57-S$1&lt;År1,0,R56*(1-VLOOKUP($A57,[1]Hugst!$R$5:$W$9,MATCH(ROUNDUP((S$1)/10,0)*10,[1]Hugst!$R$4:$W$4,0))))</f>
        <v>853.08840192123239</v>
      </c>
      <c r="T57" s="168">
        <f ca="1">IF($C57-T$1&lt;År1,0,S56*(1-VLOOKUP($A57,[1]Hugst!$R$5:$W$9,MATCH(ROUNDUP((T$1)/10,0)*10,[1]Hugst!$R$4:$W$4,0))))</f>
        <v>856.11639128509773</v>
      </c>
      <c r="U57" s="168">
        <f ca="1">IF($C57-U$1&lt;År1,0,T56*(1-VLOOKUP($A57,[1]Hugst!$R$5:$W$9,MATCH(ROUNDUP((U$1)/10,0)*10,[1]Hugst!$R$4:$W$4,0))))</f>
        <v>859.15959667586935</v>
      </c>
      <c r="V57" s="168">
        <f ca="1">IF($C57-V$1&lt;År1,0,U56*(1-VLOOKUP($A57,[1]Hugst!$R$5:$W$9,MATCH(ROUNDUP((V$1)/10,0)*10,[1]Hugst!$R$4:$W$4,0))))</f>
        <v>862.21809455606194</v>
      </c>
      <c r="W57" s="168">
        <f ca="1">IF($C57-W$1&lt;År1,0,V56*(1-VLOOKUP($A57,[1]Hugst!$R$5:$W$9,MATCH(ROUNDUP((W$1)/10,0)*10,[1]Hugst!$R$4:$W$4,0))))</f>
        <v>865.29196177231711</v>
      </c>
      <c r="X57" s="168">
        <f ca="1">IF($C57-X$1&lt;År1,0,W56*(1-VLOOKUP($A57,[1]Hugst!$R$5:$W$9,MATCH(ROUNDUP((X$1)/10,0)*10,[1]Hugst!$R$4:$W$4,0))))</f>
        <v>868.38127555754249</v>
      </c>
      <c r="Y57" s="168">
        <f ca="1">IF($C57-Y$1&lt;År1,0,X56*(1-VLOOKUP($A57,[1]Hugst!$R$5:$W$9,MATCH(ROUNDUP((Y$1)/10,0)*10,[1]Hugst!$R$4:$W$4,0))))</f>
        <v>871.48611353258525</v>
      </c>
      <c r="Z57" s="168">
        <f ca="1">IF($C57-Z$1&lt;År1,0,Y56*(1-VLOOKUP($A57,[1]Hugst!$R$5:$W$9,MATCH(ROUNDUP((Z$1)/10,0)*10,[1]Hugst!$R$4:$W$4,0))))</f>
        <v>874.60655370854579</v>
      </c>
      <c r="AA57" s="168">
        <f ca="1">IF($C57-AA$1&lt;År1,0,Z56*(1-VLOOKUP($A57,[1]Hugst!$R$5:$W$9,MATCH(ROUNDUP((AA$1)/10,0)*10,[1]Hugst!$R$4:$W$4,0))))</f>
        <v>877.7426744883785</v>
      </c>
      <c r="AB57" s="168">
        <f ca="1">IF($C57-AB$1&lt;År1,0,AA56*(1-VLOOKUP($A57,[1]Hugst!$R$5:$W$9,MATCH(ROUNDUP((AB$1)/10,0)*10,[1]Hugst!$R$4:$W$4,0))))</f>
        <v>880.89455466914728</v>
      </c>
      <c r="AC57" s="168">
        <f ca="1">IF($C57-AC$1&lt;År1,0,AB56*(1-VLOOKUP($A57,[1]Hugst!$R$5:$W$9,MATCH(ROUNDUP((AC$1)/10,0)*10,[1]Hugst!$R$4:$W$4,0))))</f>
        <v>884.0622734437718</v>
      </c>
      <c r="AD57" s="168">
        <f ca="1">IF($C57-AD$1&lt;År1,0,AC56*(1-VLOOKUP($A57,[1]Hugst!$R$5:$W$9,MATCH(ROUNDUP((AD$1)/10,0)*10,[1]Hugst!$R$4:$W$4,0))))</f>
        <v>887.24591040319569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*VLOOKUP(A58,Skovbrug!$A$13:$D$17,IF('Skovbrug-alder'!C58&lt;=År2,3,4),FALSE)-IF(C58&gt;2020,SUM(INDEX($C$1:$D$311,MATCH(1,(2020=$C$1:$C$311)*(B58=$B$1:$B$311)*(A58=$A$1:$A$311),0),2):D57),0))</f>
        <v>561.73379436065443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812.25231287917336</v>
      </c>
      <c r="G58" s="168">
        <f ca="1">IF($C58-G$1&lt;År1,0,F57*(1-VLOOKUP($A58,[1]Hugst!$R$5:$W$9,MATCH(ROUNDUP((G$1)/10,0)*10,[1]Hugst!$R$4:$W$4,0))))</f>
        <v>815.07509576540247</v>
      </c>
      <c r="H58" s="168">
        <f ca="1">IF($C58-H$1&lt;År1,0,G57*(1-VLOOKUP($A58,[1]Hugst!$R$5:$W$9,MATCH(ROUNDUP((H$1)/10,0)*10,[1]Hugst!$R$4:$W$4,0))))</f>
        <v>817.91206349027266</v>
      </c>
      <c r="I58" s="168">
        <f ca="1">IF($C58-I$1&lt;År1,0,H57*(1-VLOOKUP($A58,[1]Hugst!$R$5:$W$9,MATCH(ROUNDUP((I$1)/10,0)*10,[1]Hugst!$R$4:$W$4,0))))</f>
        <v>820.76328733434707</v>
      </c>
      <c r="J58" s="168">
        <f ca="1">IF($C58-J$1&lt;År1,0,I57*(1-VLOOKUP($A58,[1]Hugst!$R$5:$W$9,MATCH(ROUNDUP((J$1)/10,0)*10,[1]Hugst!$R$4:$W$4,0))))</f>
        <v>823.62883893644243</v>
      </c>
      <c r="K58" s="168">
        <f ca="1">IF($C58-K$1&lt;År1,0,J57*(1-VLOOKUP($A58,[1]Hugst!$R$5:$W$9,MATCH(ROUNDUP((K$1)/10,0)*10,[1]Hugst!$R$4:$W$4,0))))</f>
        <v>826.50879029531711</v>
      </c>
      <c r="L58" s="168">
        <f ca="1">IF($C58-L$1&lt;År1,0,K57*(1-VLOOKUP($A58,[1]Hugst!$R$5:$W$9,MATCH(ROUNDUP((L$1)/10,0)*10,[1]Hugst!$R$4:$W$4,0))))</f>
        <v>829.40321377157738</v>
      </c>
      <c r="M58" s="168">
        <f ca="1">IF($C58-M$1&lt;År1,0,L57*(1-VLOOKUP($A58,[1]Hugst!$R$5:$W$9,MATCH(ROUNDUP((M$1)/10,0)*10,[1]Hugst!$R$4:$W$4,0))))</f>
        <v>832.31218208945279</v>
      </c>
      <c r="N58" s="168">
        <f ca="1">IF($C58-N$1&lt;År1,0,M57*(1-VLOOKUP($A58,[1]Hugst!$R$5:$W$9,MATCH(ROUNDUP((N$1)/10,0)*10,[1]Hugst!$R$4:$W$4,0))))</f>
        <v>835.23576833854236</v>
      </c>
      <c r="O58" s="168">
        <f ca="1">IF($C58-O$1&lt;År1,0,N57*(1-VLOOKUP($A58,[1]Hugst!$R$5:$W$9,MATCH(ROUNDUP((O$1)/10,0)*10,[1]Hugst!$R$4:$W$4,0))))</f>
        <v>838.17404597582276</v>
      </c>
      <c r="P58" s="168">
        <f ca="1">IF($C58-P$1&lt;År1,0,O57*(1-VLOOKUP($A58,[1]Hugst!$R$5:$W$9,MATCH(ROUNDUP((P$1)/10,0)*10,[1]Hugst!$R$4:$W$4,0))))</f>
        <v>841.12708882738002</v>
      </c>
      <c r="Q58" s="168">
        <f ca="1">IF($C58-Q$1&lt;År1,0,P57*(1-VLOOKUP($A58,[1]Hugst!$R$5:$W$9,MATCH(ROUNDUP((Q$1)/10,0)*10,[1]Hugst!$R$4:$W$4,0))))</f>
        <v>844.09497109022846</v>
      </c>
      <c r="R58" s="168">
        <f ca="1">IF($C58-R$1&lt;År1,0,Q57*(1-VLOOKUP($A58,[1]Hugst!$R$5:$W$9,MATCH(ROUNDUP((R$1)/10,0)*10,[1]Hugst!$R$4:$W$4,0))))</f>
        <v>847.07776733430433</v>
      </c>
      <c r="S58" s="168">
        <f ca="1">IF($C58-S$1&lt;År1,0,R57*(1-VLOOKUP($A58,[1]Hugst!$R$5:$W$9,MATCH(ROUNDUP((S$1)/10,0)*10,[1]Hugst!$R$4:$W$4,0))))</f>
        <v>850.07555250424116</v>
      </c>
      <c r="T58" s="168">
        <f ca="1">IF($C58-T$1&lt;År1,0,S57*(1-VLOOKUP($A58,[1]Hugst!$R$5:$W$9,MATCH(ROUNDUP((T$1)/10,0)*10,[1]Hugst!$R$4:$W$4,0))))</f>
        <v>853.08840192123239</v>
      </c>
      <c r="U58" s="168">
        <f ca="1">IF($C58-U$1&lt;År1,0,T57*(1-VLOOKUP($A58,[1]Hugst!$R$5:$W$9,MATCH(ROUNDUP((U$1)/10,0)*10,[1]Hugst!$R$4:$W$4,0))))</f>
        <v>856.11639128509773</v>
      </c>
      <c r="V58" s="168">
        <f ca="1">IF($C58-V$1&lt;År1,0,U57*(1-VLOOKUP($A58,[1]Hugst!$R$5:$W$9,MATCH(ROUNDUP((V$1)/10,0)*10,[1]Hugst!$R$4:$W$4,0))))</f>
        <v>859.15959667586935</v>
      </c>
      <c r="W58" s="168">
        <f ca="1">IF($C58-W$1&lt;År1,0,V57*(1-VLOOKUP($A58,[1]Hugst!$R$5:$W$9,MATCH(ROUNDUP((W$1)/10,0)*10,[1]Hugst!$R$4:$W$4,0))))</f>
        <v>862.21809455606194</v>
      </c>
      <c r="X58" s="168">
        <f ca="1">IF($C58-X$1&lt;År1,0,W57*(1-VLOOKUP($A58,[1]Hugst!$R$5:$W$9,MATCH(ROUNDUP((X$1)/10,0)*10,[1]Hugst!$R$4:$W$4,0))))</f>
        <v>865.29196177231711</v>
      </c>
      <c r="Y58" s="168">
        <f ca="1">IF($C58-Y$1&lt;År1,0,X57*(1-VLOOKUP($A58,[1]Hugst!$R$5:$W$9,MATCH(ROUNDUP((Y$1)/10,0)*10,[1]Hugst!$R$4:$W$4,0))))</f>
        <v>868.38127555754249</v>
      </c>
      <c r="Z58" s="168">
        <f ca="1">IF($C58-Z$1&lt;År1,0,Y57*(1-VLOOKUP($A58,[1]Hugst!$R$5:$W$9,MATCH(ROUNDUP((Z$1)/10,0)*10,[1]Hugst!$R$4:$W$4,0))))</f>
        <v>871.48611353258525</v>
      </c>
      <c r="AA58" s="168">
        <f ca="1">IF($C58-AA$1&lt;År1,0,Z57*(1-VLOOKUP($A58,[1]Hugst!$R$5:$W$9,MATCH(ROUNDUP((AA$1)/10,0)*10,[1]Hugst!$R$4:$W$4,0))))</f>
        <v>874.60655370854579</v>
      </c>
      <c r="AB58" s="168">
        <f ca="1">IF($C58-AB$1&lt;År1,0,AA57*(1-VLOOKUP($A58,[1]Hugst!$R$5:$W$9,MATCH(ROUNDUP((AB$1)/10,0)*10,[1]Hugst!$R$4:$W$4,0))))</f>
        <v>877.7426744883785</v>
      </c>
      <c r="AC58" s="168">
        <f ca="1">IF($C58-AC$1&lt;År1,0,AB57*(1-VLOOKUP($A58,[1]Hugst!$R$5:$W$9,MATCH(ROUNDUP((AC$1)/10,0)*10,[1]Hugst!$R$4:$W$4,0))))</f>
        <v>880.89455466914728</v>
      </c>
      <c r="AD58" s="168">
        <f ca="1">IF($C58-AD$1&lt;År1,0,AC57*(1-VLOOKUP($A58,[1]Hugst!$R$5:$W$9,MATCH(ROUNDUP((AD$1)/10,0)*10,[1]Hugst!$R$4:$W$4,0))))</f>
        <v>884.0622734437718</v>
      </c>
      <c r="AE58" s="168">
        <f ca="1">IF($C58-AE$1&lt;År1,0,AD57*(1-VLOOKUP($A58,[1]Hugst!$R$5:$W$9,MATCH(ROUNDUP((AE$1)/10,0)*10,[1]Hugst!$R$4:$W$4,0))))</f>
        <v>887.24591040319569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*VLOOKUP(A59,Skovbrug!$A$13:$D$17,IF('Skovbrug-alder'!C59&lt;=År2,3,4),FALSE)-IF(C59&gt;2020,SUM(INDEX($C$1:$D$311,MATCH(1,(2020=$C$1:$C$311)*(B59=$B$1:$B$311)*(A59=$A$1:$A$311),0),2):D58),0))</f>
        <v>558.92512538886513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809.44364390738406</v>
      </c>
      <c r="G59" s="168">
        <f ca="1">IF($C59-G$1&lt;År1,0,F58*(1-VLOOKUP($A59,[1]Hugst!$R$5:$W$9,MATCH(ROUNDUP((G$1)/10,0)*10,[1]Hugst!$R$4:$W$4,0))))</f>
        <v>812.25231287917336</v>
      </c>
      <c r="H59" s="168">
        <f ca="1">IF($C59-H$1&lt;År1,0,G58*(1-VLOOKUP($A59,[1]Hugst!$R$5:$W$9,MATCH(ROUNDUP((H$1)/10,0)*10,[1]Hugst!$R$4:$W$4,0))))</f>
        <v>815.07509576540247</v>
      </c>
      <c r="I59" s="168">
        <f ca="1">IF($C59-I$1&lt;År1,0,H58*(1-VLOOKUP($A59,[1]Hugst!$R$5:$W$9,MATCH(ROUNDUP((I$1)/10,0)*10,[1]Hugst!$R$4:$W$4,0))))</f>
        <v>817.91206349027266</v>
      </c>
      <c r="J59" s="168">
        <f ca="1">IF($C59-J$1&lt;År1,0,I58*(1-VLOOKUP($A59,[1]Hugst!$R$5:$W$9,MATCH(ROUNDUP((J$1)/10,0)*10,[1]Hugst!$R$4:$W$4,0))))</f>
        <v>820.76328733434707</v>
      </c>
      <c r="K59" s="168">
        <f ca="1">IF($C59-K$1&lt;År1,0,J58*(1-VLOOKUP($A59,[1]Hugst!$R$5:$W$9,MATCH(ROUNDUP((K$1)/10,0)*10,[1]Hugst!$R$4:$W$4,0))))</f>
        <v>823.62883893644243</v>
      </c>
      <c r="L59" s="168">
        <f ca="1">IF($C59-L$1&lt;År1,0,K58*(1-VLOOKUP($A59,[1]Hugst!$R$5:$W$9,MATCH(ROUNDUP((L$1)/10,0)*10,[1]Hugst!$R$4:$W$4,0))))</f>
        <v>826.50879029531711</v>
      </c>
      <c r="M59" s="168">
        <f ca="1">IF($C59-M$1&lt;År1,0,L58*(1-VLOOKUP($A59,[1]Hugst!$R$5:$W$9,MATCH(ROUNDUP((M$1)/10,0)*10,[1]Hugst!$R$4:$W$4,0))))</f>
        <v>829.40321377157738</v>
      </c>
      <c r="N59" s="168">
        <f ca="1">IF($C59-N$1&lt;År1,0,M58*(1-VLOOKUP($A59,[1]Hugst!$R$5:$W$9,MATCH(ROUNDUP((N$1)/10,0)*10,[1]Hugst!$R$4:$W$4,0))))</f>
        <v>832.31218208945279</v>
      </c>
      <c r="O59" s="168">
        <f ca="1">IF($C59-O$1&lt;År1,0,N58*(1-VLOOKUP($A59,[1]Hugst!$R$5:$W$9,MATCH(ROUNDUP((O$1)/10,0)*10,[1]Hugst!$R$4:$W$4,0))))</f>
        <v>835.23576833854236</v>
      </c>
      <c r="P59" s="168">
        <f ca="1">IF($C59-P$1&lt;År1,0,O58*(1-VLOOKUP($A59,[1]Hugst!$R$5:$W$9,MATCH(ROUNDUP((P$1)/10,0)*10,[1]Hugst!$R$4:$W$4,0))))</f>
        <v>838.17404597582276</v>
      </c>
      <c r="Q59" s="168">
        <f ca="1">IF($C59-Q$1&lt;År1,0,P58*(1-VLOOKUP($A59,[1]Hugst!$R$5:$W$9,MATCH(ROUNDUP((Q$1)/10,0)*10,[1]Hugst!$R$4:$W$4,0))))</f>
        <v>841.12708882738002</v>
      </c>
      <c r="R59" s="168">
        <f ca="1">IF($C59-R$1&lt;År1,0,Q58*(1-VLOOKUP($A59,[1]Hugst!$R$5:$W$9,MATCH(ROUNDUP((R$1)/10,0)*10,[1]Hugst!$R$4:$W$4,0))))</f>
        <v>844.09497109022846</v>
      </c>
      <c r="S59" s="168">
        <f ca="1">IF($C59-S$1&lt;År1,0,R58*(1-VLOOKUP($A59,[1]Hugst!$R$5:$W$9,MATCH(ROUNDUP((S$1)/10,0)*10,[1]Hugst!$R$4:$W$4,0))))</f>
        <v>847.07776733430433</v>
      </c>
      <c r="T59" s="168">
        <f ca="1">IF($C59-T$1&lt;År1,0,S58*(1-VLOOKUP($A59,[1]Hugst!$R$5:$W$9,MATCH(ROUNDUP((T$1)/10,0)*10,[1]Hugst!$R$4:$W$4,0))))</f>
        <v>850.07555250424116</v>
      </c>
      <c r="U59" s="168">
        <f ca="1">IF($C59-U$1&lt;År1,0,T58*(1-VLOOKUP($A59,[1]Hugst!$R$5:$W$9,MATCH(ROUNDUP((U$1)/10,0)*10,[1]Hugst!$R$4:$W$4,0))))</f>
        <v>853.08840192123239</v>
      </c>
      <c r="V59" s="168">
        <f ca="1">IF($C59-V$1&lt;År1,0,U58*(1-VLOOKUP($A59,[1]Hugst!$R$5:$W$9,MATCH(ROUNDUP((V$1)/10,0)*10,[1]Hugst!$R$4:$W$4,0))))</f>
        <v>856.11639128509773</v>
      </c>
      <c r="W59" s="168">
        <f ca="1">IF($C59-W$1&lt;År1,0,V58*(1-VLOOKUP($A59,[1]Hugst!$R$5:$W$9,MATCH(ROUNDUP((W$1)/10,0)*10,[1]Hugst!$R$4:$W$4,0))))</f>
        <v>859.15959667586935</v>
      </c>
      <c r="X59" s="168">
        <f ca="1">IF($C59-X$1&lt;År1,0,W58*(1-VLOOKUP($A59,[1]Hugst!$R$5:$W$9,MATCH(ROUNDUP((X$1)/10,0)*10,[1]Hugst!$R$4:$W$4,0))))</f>
        <v>862.21809455606194</v>
      </c>
      <c r="Y59" s="168">
        <f ca="1">IF($C59-Y$1&lt;År1,0,X58*(1-VLOOKUP($A59,[1]Hugst!$R$5:$W$9,MATCH(ROUNDUP((Y$1)/10,0)*10,[1]Hugst!$R$4:$W$4,0))))</f>
        <v>865.29196177231711</v>
      </c>
      <c r="Z59" s="168">
        <f ca="1">IF($C59-Z$1&lt;År1,0,Y58*(1-VLOOKUP($A59,[1]Hugst!$R$5:$W$9,MATCH(ROUNDUP((Z$1)/10,0)*10,[1]Hugst!$R$4:$W$4,0))))</f>
        <v>868.38127555754249</v>
      </c>
      <c r="AA59" s="168">
        <f ca="1">IF($C59-AA$1&lt;År1,0,Z58*(1-VLOOKUP($A59,[1]Hugst!$R$5:$W$9,MATCH(ROUNDUP((AA$1)/10,0)*10,[1]Hugst!$R$4:$W$4,0))))</f>
        <v>871.48611353258525</v>
      </c>
      <c r="AB59" s="168">
        <f ca="1">IF($C59-AB$1&lt;År1,0,AA58*(1-VLOOKUP($A59,[1]Hugst!$R$5:$W$9,MATCH(ROUNDUP((AB$1)/10,0)*10,[1]Hugst!$R$4:$W$4,0))))</f>
        <v>874.60655370854579</v>
      </c>
      <c r="AC59" s="168">
        <f ca="1">IF($C59-AC$1&lt;År1,0,AB58*(1-VLOOKUP($A59,[1]Hugst!$R$5:$W$9,MATCH(ROUNDUP((AC$1)/10,0)*10,[1]Hugst!$R$4:$W$4,0))))</f>
        <v>877.7426744883785</v>
      </c>
      <c r="AD59" s="168">
        <f ca="1">IF($C59-AD$1&lt;År1,0,AC58*(1-VLOOKUP($A59,[1]Hugst!$R$5:$W$9,MATCH(ROUNDUP((AD$1)/10,0)*10,[1]Hugst!$R$4:$W$4,0))))</f>
        <v>880.89455466914728</v>
      </c>
      <c r="AE59" s="168">
        <f ca="1">IF($C59-AE$1&lt;År1,0,AD58*(1-VLOOKUP($A59,[1]Hugst!$R$5:$W$9,MATCH(ROUNDUP((AE$1)/10,0)*10,[1]Hugst!$R$4:$W$4,0))))</f>
        <v>884.0622734437718</v>
      </c>
      <c r="AF59" s="168">
        <f ca="1">IF($C59-AF$1&lt;År1,0,AE58*(1-VLOOKUP($A59,[1]Hugst!$R$5:$W$9,MATCH(ROUNDUP((AF$1)/10,0)*10,[1]Hugst!$R$4:$W$4,0))))</f>
        <v>887.24591040319569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*VLOOKUP(A60,Skovbrug!$A$13:$D$17,IF('Skovbrug-alder'!C60&lt;=År2,3,4),FALSE)-IF(C60&gt;2020,SUM(INDEX($C$1:$D$311,MATCH(1,(2020=$C$1:$C$311)*(B60=$B$1:$B$311)*(A60=$A$1:$A$311),0),2):D59),0))</f>
        <v>556.13049976188631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806.64901828040524</v>
      </c>
      <c r="G60" s="168">
        <f ca="1">IF($C60-G$1&lt;År1,0,F59*(1-VLOOKUP($A60,[1]Hugst!$R$5:$W$9,MATCH(ROUNDUP((G$1)/10,0)*10,[1]Hugst!$R$4:$W$4,0))))</f>
        <v>809.44364390738406</v>
      </c>
      <c r="H60" s="168">
        <f ca="1">IF($C60-H$1&lt;År1,0,G59*(1-VLOOKUP($A60,[1]Hugst!$R$5:$W$9,MATCH(ROUNDUP((H$1)/10,0)*10,[1]Hugst!$R$4:$W$4,0))))</f>
        <v>812.25231287917336</v>
      </c>
      <c r="I60" s="168">
        <f ca="1">IF($C60-I$1&lt;År1,0,H59*(1-VLOOKUP($A60,[1]Hugst!$R$5:$W$9,MATCH(ROUNDUP((I$1)/10,0)*10,[1]Hugst!$R$4:$W$4,0))))</f>
        <v>815.07509576540247</v>
      </c>
      <c r="J60" s="168">
        <f ca="1">IF($C60-J$1&lt;År1,0,I59*(1-VLOOKUP($A60,[1]Hugst!$R$5:$W$9,MATCH(ROUNDUP((J$1)/10,0)*10,[1]Hugst!$R$4:$W$4,0))))</f>
        <v>817.91206349027266</v>
      </c>
      <c r="K60" s="168">
        <f ca="1">IF($C60-K$1&lt;År1,0,J59*(1-VLOOKUP($A60,[1]Hugst!$R$5:$W$9,MATCH(ROUNDUP((K$1)/10,0)*10,[1]Hugst!$R$4:$W$4,0))))</f>
        <v>820.76328733434707</v>
      </c>
      <c r="L60" s="168">
        <f ca="1">IF($C60-L$1&lt;År1,0,K59*(1-VLOOKUP($A60,[1]Hugst!$R$5:$W$9,MATCH(ROUNDUP((L$1)/10,0)*10,[1]Hugst!$R$4:$W$4,0))))</f>
        <v>823.62883893644243</v>
      </c>
      <c r="M60" s="168">
        <f ca="1">IF($C60-M$1&lt;År1,0,L59*(1-VLOOKUP($A60,[1]Hugst!$R$5:$W$9,MATCH(ROUNDUP((M$1)/10,0)*10,[1]Hugst!$R$4:$W$4,0))))</f>
        <v>826.50879029531711</v>
      </c>
      <c r="N60" s="168">
        <f ca="1">IF($C60-N$1&lt;År1,0,M59*(1-VLOOKUP($A60,[1]Hugst!$R$5:$W$9,MATCH(ROUNDUP((N$1)/10,0)*10,[1]Hugst!$R$4:$W$4,0))))</f>
        <v>829.40321377157738</v>
      </c>
      <c r="O60" s="168">
        <f ca="1">IF($C60-O$1&lt;År1,0,N59*(1-VLOOKUP($A60,[1]Hugst!$R$5:$W$9,MATCH(ROUNDUP((O$1)/10,0)*10,[1]Hugst!$R$4:$W$4,0))))</f>
        <v>832.31218208945279</v>
      </c>
      <c r="P60" s="168">
        <f ca="1">IF($C60-P$1&lt;År1,0,O59*(1-VLOOKUP($A60,[1]Hugst!$R$5:$W$9,MATCH(ROUNDUP((P$1)/10,0)*10,[1]Hugst!$R$4:$W$4,0))))</f>
        <v>835.23576833854236</v>
      </c>
      <c r="Q60" s="168">
        <f ca="1">IF($C60-Q$1&lt;År1,0,P59*(1-VLOOKUP($A60,[1]Hugst!$R$5:$W$9,MATCH(ROUNDUP((Q$1)/10,0)*10,[1]Hugst!$R$4:$W$4,0))))</f>
        <v>838.17404597582276</v>
      </c>
      <c r="R60" s="168">
        <f ca="1">IF($C60-R$1&lt;År1,0,Q59*(1-VLOOKUP($A60,[1]Hugst!$R$5:$W$9,MATCH(ROUNDUP((R$1)/10,0)*10,[1]Hugst!$R$4:$W$4,0))))</f>
        <v>841.12708882738002</v>
      </c>
      <c r="S60" s="168">
        <f ca="1">IF($C60-S$1&lt;År1,0,R59*(1-VLOOKUP($A60,[1]Hugst!$R$5:$W$9,MATCH(ROUNDUP((S$1)/10,0)*10,[1]Hugst!$R$4:$W$4,0))))</f>
        <v>844.09497109022846</v>
      </c>
      <c r="T60" s="168">
        <f ca="1">IF($C60-T$1&lt;År1,0,S59*(1-VLOOKUP($A60,[1]Hugst!$R$5:$W$9,MATCH(ROUNDUP((T$1)/10,0)*10,[1]Hugst!$R$4:$W$4,0))))</f>
        <v>847.07776733430433</v>
      </c>
      <c r="U60" s="168">
        <f ca="1">IF($C60-U$1&lt;År1,0,T59*(1-VLOOKUP($A60,[1]Hugst!$R$5:$W$9,MATCH(ROUNDUP((U$1)/10,0)*10,[1]Hugst!$R$4:$W$4,0))))</f>
        <v>850.07555250424116</v>
      </c>
      <c r="V60" s="168">
        <f ca="1">IF($C60-V$1&lt;År1,0,U59*(1-VLOOKUP($A60,[1]Hugst!$R$5:$W$9,MATCH(ROUNDUP((V$1)/10,0)*10,[1]Hugst!$R$4:$W$4,0))))</f>
        <v>853.08840192123239</v>
      </c>
      <c r="W60" s="168">
        <f ca="1">IF($C60-W$1&lt;År1,0,V59*(1-VLOOKUP($A60,[1]Hugst!$R$5:$W$9,MATCH(ROUNDUP((W$1)/10,0)*10,[1]Hugst!$R$4:$W$4,0))))</f>
        <v>856.11639128509773</v>
      </c>
      <c r="X60" s="168">
        <f ca="1">IF($C60-X$1&lt;År1,0,W59*(1-VLOOKUP($A60,[1]Hugst!$R$5:$W$9,MATCH(ROUNDUP((X$1)/10,0)*10,[1]Hugst!$R$4:$W$4,0))))</f>
        <v>859.15959667586935</v>
      </c>
      <c r="Y60" s="168">
        <f ca="1">IF($C60-Y$1&lt;År1,0,X59*(1-VLOOKUP($A60,[1]Hugst!$R$5:$W$9,MATCH(ROUNDUP((Y$1)/10,0)*10,[1]Hugst!$R$4:$W$4,0))))</f>
        <v>862.21809455606194</v>
      </c>
      <c r="Z60" s="168">
        <f ca="1">IF($C60-Z$1&lt;År1,0,Y59*(1-VLOOKUP($A60,[1]Hugst!$R$5:$W$9,MATCH(ROUNDUP((Z$1)/10,0)*10,[1]Hugst!$R$4:$W$4,0))))</f>
        <v>865.29196177231711</v>
      </c>
      <c r="AA60" s="168">
        <f ca="1">IF($C60-AA$1&lt;År1,0,Z59*(1-VLOOKUP($A60,[1]Hugst!$R$5:$W$9,MATCH(ROUNDUP((AA$1)/10,0)*10,[1]Hugst!$R$4:$W$4,0))))</f>
        <v>868.38127555754249</v>
      </c>
      <c r="AB60" s="168">
        <f ca="1">IF($C60-AB$1&lt;År1,0,AA59*(1-VLOOKUP($A60,[1]Hugst!$R$5:$W$9,MATCH(ROUNDUP((AB$1)/10,0)*10,[1]Hugst!$R$4:$W$4,0))))</f>
        <v>871.48611353258525</v>
      </c>
      <c r="AC60" s="168">
        <f ca="1">IF($C60-AC$1&lt;År1,0,AB59*(1-VLOOKUP($A60,[1]Hugst!$R$5:$W$9,MATCH(ROUNDUP((AC$1)/10,0)*10,[1]Hugst!$R$4:$W$4,0))))</f>
        <v>874.60655370854579</v>
      </c>
      <c r="AD60" s="168">
        <f ca="1">IF($C60-AD$1&lt;År1,0,AC59*(1-VLOOKUP($A60,[1]Hugst!$R$5:$W$9,MATCH(ROUNDUP((AD$1)/10,0)*10,[1]Hugst!$R$4:$W$4,0))))</f>
        <v>877.7426744883785</v>
      </c>
      <c r="AE60" s="168">
        <f ca="1">IF($C60-AE$1&lt;År1,0,AD59*(1-VLOOKUP($A60,[1]Hugst!$R$5:$W$9,MATCH(ROUNDUP((AE$1)/10,0)*10,[1]Hugst!$R$4:$W$4,0))))</f>
        <v>880.89455466914728</v>
      </c>
      <c r="AF60" s="168">
        <f ca="1">IF($C60-AF$1&lt;År1,0,AE59*(1-VLOOKUP($A60,[1]Hugst!$R$5:$W$9,MATCH(ROUNDUP((AF$1)/10,0)*10,[1]Hugst!$R$4:$W$4,0))))</f>
        <v>884.0622734437718</v>
      </c>
      <c r="AG60" s="168">
        <f ca="1">IF($C60-AG$1&lt;År1,0,AF59*(1-VLOOKUP($A60,[1]Hugst!$R$5:$W$9,MATCH(ROUNDUP((AG$1)/10,0)*10,[1]Hugst!$R$4:$W$4,0))))</f>
        <v>887.24591040319569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*VLOOKUP(A61,Skovbrug!$A$13:$D$17,IF('Skovbrug-alder'!C61&lt;=År2,3,4),FALSE)-IF(C61&gt;2020,SUM(INDEX($C$1:$D$311,MATCH(1,(2020=$C$1:$C$311)*(B61=$B$1:$B$311)*(A61=$A$1:$A$311),0),2):D60),0))</f>
        <v>553.34984726308903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803.86836578160796</v>
      </c>
      <c r="G61" s="168">
        <f ca="1">IF($C61-G$1&lt;År1,0,F60*(1-VLOOKUP($A61,[1]Hugst!$R$5:$W$9,MATCH(ROUNDUP((G$1)/10,0)*10,[1]Hugst!$R$4:$W$4,0))))</f>
        <v>806.64901828040524</v>
      </c>
      <c r="H61" s="168">
        <f ca="1">IF($C61-H$1&lt;År1,0,G60*(1-VLOOKUP($A61,[1]Hugst!$R$5:$W$9,MATCH(ROUNDUP((H$1)/10,0)*10,[1]Hugst!$R$4:$W$4,0))))</f>
        <v>809.44364390738406</v>
      </c>
      <c r="I61" s="168">
        <f ca="1">IF($C61-I$1&lt;År1,0,H60*(1-VLOOKUP($A61,[1]Hugst!$R$5:$W$9,MATCH(ROUNDUP((I$1)/10,0)*10,[1]Hugst!$R$4:$W$4,0))))</f>
        <v>812.25231287917336</v>
      </c>
      <c r="J61" s="168">
        <f ca="1">IF($C61-J$1&lt;År1,0,I60*(1-VLOOKUP($A61,[1]Hugst!$R$5:$W$9,MATCH(ROUNDUP((J$1)/10,0)*10,[1]Hugst!$R$4:$W$4,0))))</f>
        <v>815.07509576540247</v>
      </c>
      <c r="K61" s="168">
        <f ca="1">IF($C61-K$1&lt;År1,0,J60*(1-VLOOKUP($A61,[1]Hugst!$R$5:$W$9,MATCH(ROUNDUP((K$1)/10,0)*10,[1]Hugst!$R$4:$W$4,0))))</f>
        <v>817.91206349027266</v>
      </c>
      <c r="L61" s="168">
        <f ca="1">IF($C61-L$1&lt;År1,0,K60*(1-VLOOKUP($A61,[1]Hugst!$R$5:$W$9,MATCH(ROUNDUP((L$1)/10,0)*10,[1]Hugst!$R$4:$W$4,0))))</f>
        <v>820.76328733434707</v>
      </c>
      <c r="M61" s="168">
        <f ca="1">IF($C61-M$1&lt;År1,0,L60*(1-VLOOKUP($A61,[1]Hugst!$R$5:$W$9,MATCH(ROUNDUP((M$1)/10,0)*10,[1]Hugst!$R$4:$W$4,0))))</f>
        <v>823.62883893644243</v>
      </c>
      <c r="N61" s="168">
        <f ca="1">IF($C61-N$1&lt;År1,0,M60*(1-VLOOKUP($A61,[1]Hugst!$R$5:$W$9,MATCH(ROUNDUP((N$1)/10,0)*10,[1]Hugst!$R$4:$W$4,0))))</f>
        <v>826.50879029531711</v>
      </c>
      <c r="O61" s="168">
        <f ca="1">IF($C61-O$1&lt;År1,0,N60*(1-VLOOKUP($A61,[1]Hugst!$R$5:$W$9,MATCH(ROUNDUP((O$1)/10,0)*10,[1]Hugst!$R$4:$W$4,0))))</f>
        <v>829.40321377157738</v>
      </c>
      <c r="P61" s="168">
        <f ca="1">IF($C61-P$1&lt;År1,0,O60*(1-VLOOKUP($A61,[1]Hugst!$R$5:$W$9,MATCH(ROUNDUP((P$1)/10,0)*10,[1]Hugst!$R$4:$W$4,0))))</f>
        <v>832.31218208945279</v>
      </c>
      <c r="Q61" s="168">
        <f ca="1">IF($C61-Q$1&lt;År1,0,P60*(1-VLOOKUP($A61,[1]Hugst!$R$5:$W$9,MATCH(ROUNDUP((Q$1)/10,0)*10,[1]Hugst!$R$4:$W$4,0))))</f>
        <v>835.23576833854236</v>
      </c>
      <c r="R61" s="168">
        <f ca="1">IF($C61-R$1&lt;År1,0,Q60*(1-VLOOKUP($A61,[1]Hugst!$R$5:$W$9,MATCH(ROUNDUP((R$1)/10,0)*10,[1]Hugst!$R$4:$W$4,0))))</f>
        <v>838.17404597582276</v>
      </c>
      <c r="S61" s="168">
        <f ca="1">IF($C61-S$1&lt;År1,0,R60*(1-VLOOKUP($A61,[1]Hugst!$R$5:$W$9,MATCH(ROUNDUP((S$1)/10,0)*10,[1]Hugst!$R$4:$W$4,0))))</f>
        <v>841.12708882738002</v>
      </c>
      <c r="T61" s="168">
        <f ca="1">IF($C61-T$1&lt;År1,0,S60*(1-VLOOKUP($A61,[1]Hugst!$R$5:$W$9,MATCH(ROUNDUP((T$1)/10,0)*10,[1]Hugst!$R$4:$W$4,0))))</f>
        <v>844.09497109022846</v>
      </c>
      <c r="U61" s="168">
        <f ca="1">IF($C61-U$1&lt;År1,0,T60*(1-VLOOKUP($A61,[1]Hugst!$R$5:$W$9,MATCH(ROUNDUP((U$1)/10,0)*10,[1]Hugst!$R$4:$W$4,0))))</f>
        <v>847.07776733430433</v>
      </c>
      <c r="V61" s="168">
        <f ca="1">IF($C61-V$1&lt;År1,0,U60*(1-VLOOKUP($A61,[1]Hugst!$R$5:$W$9,MATCH(ROUNDUP((V$1)/10,0)*10,[1]Hugst!$R$4:$W$4,0))))</f>
        <v>850.07555250424116</v>
      </c>
      <c r="W61" s="168">
        <f ca="1">IF($C61-W$1&lt;År1,0,V60*(1-VLOOKUP($A61,[1]Hugst!$R$5:$W$9,MATCH(ROUNDUP((W$1)/10,0)*10,[1]Hugst!$R$4:$W$4,0))))</f>
        <v>853.08840192123239</v>
      </c>
      <c r="X61" s="168">
        <f ca="1">IF($C61-X$1&lt;År1,0,W60*(1-VLOOKUP($A61,[1]Hugst!$R$5:$W$9,MATCH(ROUNDUP((X$1)/10,0)*10,[1]Hugst!$R$4:$W$4,0))))</f>
        <v>856.11639128509773</v>
      </c>
      <c r="Y61" s="168">
        <f ca="1">IF($C61-Y$1&lt;År1,0,X60*(1-VLOOKUP($A61,[1]Hugst!$R$5:$W$9,MATCH(ROUNDUP((Y$1)/10,0)*10,[1]Hugst!$R$4:$W$4,0))))</f>
        <v>859.15959667586935</v>
      </c>
      <c r="Z61" s="168">
        <f ca="1">IF($C61-Z$1&lt;År1,0,Y60*(1-VLOOKUP($A61,[1]Hugst!$R$5:$W$9,MATCH(ROUNDUP((Z$1)/10,0)*10,[1]Hugst!$R$4:$W$4,0))))</f>
        <v>862.21809455606194</v>
      </c>
      <c r="AA61" s="168">
        <f ca="1">IF($C61-AA$1&lt;År1,0,Z60*(1-VLOOKUP($A61,[1]Hugst!$R$5:$W$9,MATCH(ROUNDUP((AA$1)/10,0)*10,[1]Hugst!$R$4:$W$4,0))))</f>
        <v>865.29196177231711</v>
      </c>
      <c r="AB61" s="168">
        <f ca="1">IF($C61-AB$1&lt;År1,0,AA60*(1-VLOOKUP($A61,[1]Hugst!$R$5:$W$9,MATCH(ROUNDUP((AB$1)/10,0)*10,[1]Hugst!$R$4:$W$4,0))))</f>
        <v>868.38127555754249</v>
      </c>
      <c r="AC61" s="168">
        <f ca="1">IF($C61-AC$1&lt;År1,0,AB60*(1-VLOOKUP($A61,[1]Hugst!$R$5:$W$9,MATCH(ROUNDUP((AC$1)/10,0)*10,[1]Hugst!$R$4:$W$4,0))))</f>
        <v>871.48611353258525</v>
      </c>
      <c r="AD61" s="168">
        <f ca="1">IF($C61-AD$1&lt;År1,0,AC60*(1-VLOOKUP($A61,[1]Hugst!$R$5:$W$9,MATCH(ROUNDUP((AD$1)/10,0)*10,[1]Hugst!$R$4:$W$4,0))))</f>
        <v>874.60655370854579</v>
      </c>
      <c r="AE61" s="168">
        <f ca="1">IF($C61-AE$1&lt;År1,0,AD60*(1-VLOOKUP($A61,[1]Hugst!$R$5:$W$9,MATCH(ROUNDUP((AE$1)/10,0)*10,[1]Hugst!$R$4:$W$4,0))))</f>
        <v>877.7426744883785</v>
      </c>
      <c r="AF61" s="168">
        <f ca="1">IF($C61-AF$1&lt;År1,0,AE60*(1-VLOOKUP($A61,[1]Hugst!$R$5:$W$9,MATCH(ROUNDUP((AF$1)/10,0)*10,[1]Hugst!$R$4:$W$4,0))))</f>
        <v>880.89455466914728</v>
      </c>
      <c r="AG61" s="168">
        <f ca="1">IF($C61-AG$1&lt;År1,0,AF60*(1-VLOOKUP($A61,[1]Hugst!$R$5:$W$9,MATCH(ROUNDUP((AG$1)/10,0)*10,[1]Hugst!$R$4:$W$4,0))))</f>
        <v>884.0622734437718</v>
      </c>
      <c r="AH61" s="168">
        <f ca="1">IF($C61-AH$1&lt;År1,0,AG60*(1-VLOOKUP($A61,[1]Hugst!$R$5:$W$9,MATCH(ROUNDUP((AH$1)/10,0)*10,[1]Hugst!$R$4:$W$4,0))))</f>
        <v>887.24591040319569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*VLOOKUP(A62,Skovbrug!$A$13:$D$17,IF('Skovbrug-alder'!C62&lt;=År2,3,4),FALSE)-IF(C62&gt;2020,SUM(INDEX($C$1:$D$311,MATCH(1,(2020=$C$1:$C$311)*(B62=$B$1:$B$311)*(A62=$A$1:$A$311),0),2):D61),0))</f>
        <v>550.58309802679287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801.1016165453118</v>
      </c>
      <c r="G62" s="168">
        <f ca="1">IF($C62-G$1&lt;År1,0,F61*(1-VLOOKUP($A62,[1]Hugst!$R$5:$W$9,MATCH(ROUNDUP((G$1)/10,0)*10,[1]Hugst!$R$4:$W$4,0))))</f>
        <v>803.86836578160796</v>
      </c>
      <c r="H62" s="168">
        <f ca="1">IF($C62-H$1&lt;År1,0,G61*(1-VLOOKUP($A62,[1]Hugst!$R$5:$W$9,MATCH(ROUNDUP((H$1)/10,0)*10,[1]Hugst!$R$4:$W$4,0))))</f>
        <v>806.64901828040524</v>
      </c>
      <c r="I62" s="168">
        <f ca="1">IF($C62-I$1&lt;År1,0,H61*(1-VLOOKUP($A62,[1]Hugst!$R$5:$W$9,MATCH(ROUNDUP((I$1)/10,0)*10,[1]Hugst!$R$4:$W$4,0))))</f>
        <v>809.44364390738406</v>
      </c>
      <c r="J62" s="168">
        <f ca="1">IF($C62-J$1&lt;År1,0,I61*(1-VLOOKUP($A62,[1]Hugst!$R$5:$W$9,MATCH(ROUNDUP((J$1)/10,0)*10,[1]Hugst!$R$4:$W$4,0))))</f>
        <v>812.25231287917336</v>
      </c>
      <c r="K62" s="168">
        <f ca="1">IF($C62-K$1&lt;År1,0,J61*(1-VLOOKUP($A62,[1]Hugst!$R$5:$W$9,MATCH(ROUNDUP((K$1)/10,0)*10,[1]Hugst!$R$4:$W$4,0))))</f>
        <v>815.07509576540247</v>
      </c>
      <c r="L62" s="168">
        <f ca="1">IF($C62-L$1&lt;År1,0,K61*(1-VLOOKUP($A62,[1]Hugst!$R$5:$W$9,MATCH(ROUNDUP((L$1)/10,0)*10,[1]Hugst!$R$4:$W$4,0))))</f>
        <v>817.91206349027266</v>
      </c>
      <c r="M62" s="168">
        <f ca="1">IF($C62-M$1&lt;År1,0,L61*(1-VLOOKUP($A62,[1]Hugst!$R$5:$W$9,MATCH(ROUNDUP((M$1)/10,0)*10,[1]Hugst!$R$4:$W$4,0))))</f>
        <v>820.76328733434707</v>
      </c>
      <c r="N62" s="168">
        <f ca="1">IF($C62-N$1&lt;År1,0,M61*(1-VLOOKUP($A62,[1]Hugst!$R$5:$W$9,MATCH(ROUNDUP((N$1)/10,0)*10,[1]Hugst!$R$4:$W$4,0))))</f>
        <v>823.62883893644243</v>
      </c>
      <c r="O62" s="168">
        <f ca="1">IF($C62-O$1&lt;År1,0,N61*(1-VLOOKUP($A62,[1]Hugst!$R$5:$W$9,MATCH(ROUNDUP((O$1)/10,0)*10,[1]Hugst!$R$4:$W$4,0))))</f>
        <v>826.50879029531711</v>
      </c>
      <c r="P62" s="168">
        <f ca="1">IF($C62-P$1&lt;År1,0,O61*(1-VLOOKUP($A62,[1]Hugst!$R$5:$W$9,MATCH(ROUNDUP((P$1)/10,0)*10,[1]Hugst!$R$4:$W$4,0))))</f>
        <v>829.40321377157738</v>
      </c>
      <c r="Q62" s="168">
        <f ca="1">IF($C62-Q$1&lt;År1,0,P61*(1-VLOOKUP($A62,[1]Hugst!$R$5:$W$9,MATCH(ROUNDUP((Q$1)/10,0)*10,[1]Hugst!$R$4:$W$4,0))))</f>
        <v>832.31218208945279</v>
      </c>
      <c r="R62" s="168">
        <f ca="1">IF($C62-R$1&lt;År1,0,Q61*(1-VLOOKUP($A62,[1]Hugst!$R$5:$W$9,MATCH(ROUNDUP((R$1)/10,0)*10,[1]Hugst!$R$4:$W$4,0))))</f>
        <v>835.23576833854236</v>
      </c>
      <c r="S62" s="168">
        <f ca="1">IF($C62-S$1&lt;År1,0,R61*(1-VLOOKUP($A62,[1]Hugst!$R$5:$W$9,MATCH(ROUNDUP((S$1)/10,0)*10,[1]Hugst!$R$4:$W$4,0))))</f>
        <v>838.17404597582276</v>
      </c>
      <c r="T62" s="168">
        <f ca="1">IF($C62-T$1&lt;År1,0,S61*(1-VLOOKUP($A62,[1]Hugst!$R$5:$W$9,MATCH(ROUNDUP((T$1)/10,0)*10,[1]Hugst!$R$4:$W$4,0))))</f>
        <v>841.12708882738002</v>
      </c>
      <c r="U62" s="168">
        <f ca="1">IF($C62-U$1&lt;År1,0,T61*(1-VLOOKUP($A62,[1]Hugst!$R$5:$W$9,MATCH(ROUNDUP((U$1)/10,0)*10,[1]Hugst!$R$4:$W$4,0))))</f>
        <v>844.09497109022846</v>
      </c>
      <c r="V62" s="168">
        <f ca="1">IF($C62-V$1&lt;År1,0,U61*(1-VLOOKUP($A62,[1]Hugst!$R$5:$W$9,MATCH(ROUNDUP((V$1)/10,0)*10,[1]Hugst!$R$4:$W$4,0))))</f>
        <v>847.07776733430433</v>
      </c>
      <c r="W62" s="168">
        <f ca="1">IF($C62-W$1&lt;År1,0,V61*(1-VLOOKUP($A62,[1]Hugst!$R$5:$W$9,MATCH(ROUNDUP((W$1)/10,0)*10,[1]Hugst!$R$4:$W$4,0))))</f>
        <v>850.07555250424116</v>
      </c>
      <c r="X62" s="168">
        <f ca="1">IF($C62-X$1&lt;År1,0,W61*(1-VLOOKUP($A62,[1]Hugst!$R$5:$W$9,MATCH(ROUNDUP((X$1)/10,0)*10,[1]Hugst!$R$4:$W$4,0))))</f>
        <v>853.08840192123239</v>
      </c>
      <c r="Y62" s="168">
        <f ca="1">IF($C62-Y$1&lt;År1,0,X61*(1-VLOOKUP($A62,[1]Hugst!$R$5:$W$9,MATCH(ROUNDUP((Y$1)/10,0)*10,[1]Hugst!$R$4:$W$4,0))))</f>
        <v>856.11639128509773</v>
      </c>
      <c r="Z62" s="168">
        <f ca="1">IF($C62-Z$1&lt;År1,0,Y61*(1-VLOOKUP($A62,[1]Hugst!$R$5:$W$9,MATCH(ROUNDUP((Z$1)/10,0)*10,[1]Hugst!$R$4:$W$4,0))))</f>
        <v>859.15959667586935</v>
      </c>
      <c r="AA62" s="168">
        <f ca="1">IF($C62-AA$1&lt;År1,0,Z61*(1-VLOOKUP($A62,[1]Hugst!$R$5:$W$9,MATCH(ROUNDUP((AA$1)/10,0)*10,[1]Hugst!$R$4:$W$4,0))))</f>
        <v>862.21809455606194</v>
      </c>
      <c r="AB62" s="168">
        <f ca="1">IF($C62-AB$1&lt;År1,0,AA61*(1-VLOOKUP($A62,[1]Hugst!$R$5:$W$9,MATCH(ROUNDUP((AB$1)/10,0)*10,[1]Hugst!$R$4:$W$4,0))))</f>
        <v>865.29196177231711</v>
      </c>
      <c r="AC62" s="168">
        <f ca="1">IF($C62-AC$1&lt;År1,0,AB61*(1-VLOOKUP($A62,[1]Hugst!$R$5:$W$9,MATCH(ROUNDUP((AC$1)/10,0)*10,[1]Hugst!$R$4:$W$4,0))))</f>
        <v>868.38127555754249</v>
      </c>
      <c r="AD62" s="168">
        <f ca="1">IF($C62-AD$1&lt;År1,0,AC61*(1-VLOOKUP($A62,[1]Hugst!$R$5:$W$9,MATCH(ROUNDUP((AD$1)/10,0)*10,[1]Hugst!$R$4:$W$4,0))))</f>
        <v>871.48611353258525</v>
      </c>
      <c r="AE62" s="168">
        <f ca="1">IF($C62-AE$1&lt;År1,0,AD61*(1-VLOOKUP($A62,[1]Hugst!$R$5:$W$9,MATCH(ROUNDUP((AE$1)/10,0)*10,[1]Hugst!$R$4:$W$4,0))))</f>
        <v>874.60655370854579</v>
      </c>
      <c r="AF62" s="168">
        <f ca="1">IF($C62-AF$1&lt;År1,0,AE61*(1-VLOOKUP($A62,[1]Hugst!$R$5:$W$9,MATCH(ROUNDUP((AF$1)/10,0)*10,[1]Hugst!$R$4:$W$4,0))))</f>
        <v>877.7426744883785</v>
      </c>
      <c r="AG62" s="168">
        <f ca="1">IF($C62-AG$1&lt;År1,0,AF61*(1-VLOOKUP($A62,[1]Hugst!$R$5:$W$9,MATCH(ROUNDUP((AG$1)/10,0)*10,[1]Hugst!$R$4:$W$4,0))))</f>
        <v>880.89455466914728</v>
      </c>
      <c r="AH62" s="168">
        <f ca="1">IF($C62-AH$1&lt;År1,0,AG61*(1-VLOOKUP($A62,[1]Hugst!$R$5:$W$9,MATCH(ROUNDUP((AH$1)/10,0)*10,[1]Hugst!$R$4:$W$4,0))))</f>
        <v>884.0622734437718</v>
      </c>
      <c r="AI62" s="168">
        <f ca="1">IF($C62-AI$1&lt;År1,0,AH61*(1-VLOOKUP($A62,[1]Hugst!$R$5:$W$9,MATCH(ROUNDUP((AI$1)/10,0)*10,[1]Hugst!$R$4:$W$4,0))))</f>
        <v>887.24591040319569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*VLOOKUP(A63,Skovbrug!$A$13:$D$17,IF('Skovbrug-alder'!C63&lt;=År2,3,4),FALSE)-IF(C63&gt;2020,SUM(INDEX($C$1:$D$311,MATCH(1,(2020=$C$1:$C$311)*(B63=$B$1:$B$311)*(A63=$A$1:$A$311),0),2):D62),0))</f>
        <v>547.83018253665068</v>
      </c>
      <c r="E63" s="168">
        <f t="shared" ca="1" si="0"/>
        <v>2.9260237470734864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801.2747248022431</v>
      </c>
      <c r="G63" s="168">
        <f ca="1">IF($C63-G$1&lt;År1,0,F62*(1-VLOOKUP($A63,[1]Hugst!$R$5:$W$9,MATCH(ROUNDUP((G$1)/10,0)*10,[1]Hugst!$R$4:$W$4,0))))</f>
        <v>801.1016165453118</v>
      </c>
      <c r="H63" s="168">
        <f ca="1">IF($C63-H$1&lt;År1,0,G62*(1-VLOOKUP($A63,[1]Hugst!$R$5:$W$9,MATCH(ROUNDUP((H$1)/10,0)*10,[1]Hugst!$R$4:$W$4,0))))</f>
        <v>803.86836578160796</v>
      </c>
      <c r="I63" s="168">
        <f ca="1">IF($C63-I$1&lt;År1,0,H62*(1-VLOOKUP($A63,[1]Hugst!$R$5:$W$9,MATCH(ROUNDUP((I$1)/10,0)*10,[1]Hugst!$R$4:$W$4,0))))</f>
        <v>806.64901828040524</v>
      </c>
      <c r="J63" s="168">
        <f ca="1">IF($C63-J$1&lt;År1,0,I62*(1-VLOOKUP($A63,[1]Hugst!$R$5:$W$9,MATCH(ROUNDUP((J$1)/10,0)*10,[1]Hugst!$R$4:$W$4,0))))</f>
        <v>809.44364390738406</v>
      </c>
      <c r="K63" s="168">
        <f ca="1">IF($C63-K$1&lt;År1,0,J62*(1-VLOOKUP($A63,[1]Hugst!$R$5:$W$9,MATCH(ROUNDUP((K$1)/10,0)*10,[1]Hugst!$R$4:$W$4,0))))</f>
        <v>812.25231287917336</v>
      </c>
      <c r="L63" s="168">
        <f ca="1">IF($C63-L$1&lt;År1,0,K62*(1-VLOOKUP($A63,[1]Hugst!$R$5:$W$9,MATCH(ROUNDUP((L$1)/10,0)*10,[1]Hugst!$R$4:$W$4,0))))</f>
        <v>815.07509576540247</v>
      </c>
      <c r="M63" s="168">
        <f ca="1">IF($C63-M$1&lt;År1,0,L62*(1-VLOOKUP($A63,[1]Hugst!$R$5:$W$9,MATCH(ROUNDUP((M$1)/10,0)*10,[1]Hugst!$R$4:$W$4,0))))</f>
        <v>817.91206349027266</v>
      </c>
      <c r="N63" s="168">
        <f ca="1">IF($C63-N$1&lt;År1,0,M62*(1-VLOOKUP($A63,[1]Hugst!$R$5:$W$9,MATCH(ROUNDUP((N$1)/10,0)*10,[1]Hugst!$R$4:$W$4,0))))</f>
        <v>820.76328733434707</v>
      </c>
      <c r="O63" s="168">
        <f ca="1">IF($C63-O$1&lt;År1,0,N62*(1-VLOOKUP($A63,[1]Hugst!$R$5:$W$9,MATCH(ROUNDUP((O$1)/10,0)*10,[1]Hugst!$R$4:$W$4,0))))</f>
        <v>823.62883893644243</v>
      </c>
      <c r="P63" s="168">
        <f ca="1">IF($C63-P$1&lt;År1,0,O62*(1-VLOOKUP($A63,[1]Hugst!$R$5:$W$9,MATCH(ROUNDUP((P$1)/10,0)*10,[1]Hugst!$R$4:$W$4,0))))</f>
        <v>826.50879029531711</v>
      </c>
      <c r="Q63" s="168">
        <f ca="1">IF($C63-Q$1&lt;År1,0,P62*(1-VLOOKUP($A63,[1]Hugst!$R$5:$W$9,MATCH(ROUNDUP((Q$1)/10,0)*10,[1]Hugst!$R$4:$W$4,0))))</f>
        <v>829.40321377157738</v>
      </c>
      <c r="R63" s="168">
        <f ca="1">IF($C63-R$1&lt;År1,0,Q62*(1-VLOOKUP($A63,[1]Hugst!$R$5:$W$9,MATCH(ROUNDUP((R$1)/10,0)*10,[1]Hugst!$R$4:$W$4,0))))</f>
        <v>832.31218208945279</v>
      </c>
      <c r="S63" s="168">
        <f ca="1">IF($C63-S$1&lt;År1,0,R62*(1-VLOOKUP($A63,[1]Hugst!$R$5:$W$9,MATCH(ROUNDUP((S$1)/10,0)*10,[1]Hugst!$R$4:$W$4,0))))</f>
        <v>835.23576833854236</v>
      </c>
      <c r="T63" s="168">
        <f ca="1">IF($C63-T$1&lt;År1,0,S62*(1-VLOOKUP($A63,[1]Hugst!$R$5:$W$9,MATCH(ROUNDUP((T$1)/10,0)*10,[1]Hugst!$R$4:$W$4,0))))</f>
        <v>838.17404597582276</v>
      </c>
      <c r="U63" s="168">
        <f ca="1">IF($C63-U$1&lt;År1,0,T62*(1-VLOOKUP($A63,[1]Hugst!$R$5:$W$9,MATCH(ROUNDUP((U$1)/10,0)*10,[1]Hugst!$R$4:$W$4,0))))</f>
        <v>841.12708882738002</v>
      </c>
      <c r="V63" s="168">
        <f ca="1">IF($C63-V$1&lt;År1,0,U62*(1-VLOOKUP($A63,[1]Hugst!$R$5:$W$9,MATCH(ROUNDUP((V$1)/10,0)*10,[1]Hugst!$R$4:$W$4,0))))</f>
        <v>844.09497109022846</v>
      </c>
      <c r="W63" s="168">
        <f ca="1">IF($C63-W$1&lt;År1,0,V62*(1-VLOOKUP($A63,[1]Hugst!$R$5:$W$9,MATCH(ROUNDUP((W$1)/10,0)*10,[1]Hugst!$R$4:$W$4,0))))</f>
        <v>847.07776733430433</v>
      </c>
      <c r="X63" s="168">
        <f ca="1">IF($C63-X$1&lt;År1,0,W62*(1-VLOOKUP($A63,[1]Hugst!$R$5:$W$9,MATCH(ROUNDUP((X$1)/10,0)*10,[1]Hugst!$R$4:$W$4,0))))</f>
        <v>850.07555250424116</v>
      </c>
      <c r="Y63" s="168">
        <f ca="1">IF($C63-Y$1&lt;År1,0,X62*(1-VLOOKUP($A63,[1]Hugst!$R$5:$W$9,MATCH(ROUNDUP((Y$1)/10,0)*10,[1]Hugst!$R$4:$W$4,0))))</f>
        <v>853.08840192123239</v>
      </c>
      <c r="Z63" s="168">
        <f ca="1">IF($C63-Z$1&lt;År1,0,Y62*(1-VLOOKUP($A63,[1]Hugst!$R$5:$W$9,MATCH(ROUNDUP((Z$1)/10,0)*10,[1]Hugst!$R$4:$W$4,0))))</f>
        <v>856.11639128509773</v>
      </c>
      <c r="AA63" s="168">
        <f ca="1">IF($C63-AA$1&lt;År1,0,Z62*(1-VLOOKUP($A63,[1]Hugst!$R$5:$W$9,MATCH(ROUNDUP((AA$1)/10,0)*10,[1]Hugst!$R$4:$W$4,0))))</f>
        <v>859.15959667586935</v>
      </c>
      <c r="AB63" s="168">
        <f ca="1">IF($C63-AB$1&lt;År1,0,AA62*(1-VLOOKUP($A63,[1]Hugst!$R$5:$W$9,MATCH(ROUNDUP((AB$1)/10,0)*10,[1]Hugst!$R$4:$W$4,0))))</f>
        <v>862.21809455606194</v>
      </c>
      <c r="AC63" s="168">
        <f ca="1">IF($C63-AC$1&lt;År1,0,AB62*(1-VLOOKUP($A63,[1]Hugst!$R$5:$W$9,MATCH(ROUNDUP((AC$1)/10,0)*10,[1]Hugst!$R$4:$W$4,0))))</f>
        <v>865.29196177231711</v>
      </c>
      <c r="AD63" s="168">
        <f ca="1">IF($C63-AD$1&lt;År1,0,AC62*(1-VLOOKUP($A63,[1]Hugst!$R$5:$W$9,MATCH(ROUNDUP((AD$1)/10,0)*10,[1]Hugst!$R$4:$W$4,0))))</f>
        <v>868.38127555754249</v>
      </c>
      <c r="AE63" s="168">
        <f ca="1">IF($C63-AE$1&lt;År1,0,AD62*(1-VLOOKUP($A63,[1]Hugst!$R$5:$W$9,MATCH(ROUNDUP((AE$1)/10,0)*10,[1]Hugst!$R$4:$W$4,0))))</f>
        <v>871.48611353258525</v>
      </c>
      <c r="AF63" s="168">
        <f ca="1">IF($C63-AF$1&lt;År1,0,AE62*(1-VLOOKUP($A63,[1]Hugst!$R$5:$W$9,MATCH(ROUNDUP((AF$1)/10,0)*10,[1]Hugst!$R$4:$W$4,0))))</f>
        <v>874.60655370854579</v>
      </c>
      <c r="AG63" s="168">
        <f ca="1">IF($C63-AG$1&lt;År1,0,AF62*(1-VLOOKUP($A63,[1]Hugst!$R$5:$W$9,MATCH(ROUNDUP((AG$1)/10,0)*10,[1]Hugst!$R$4:$W$4,0))))</f>
        <v>877.7426744883785</v>
      </c>
      <c r="AH63" s="168">
        <f ca="1">IF($C63-AH$1&lt;År1,0,AG62*(1-VLOOKUP($A63,[1]Hugst!$R$5:$W$9,MATCH(ROUNDUP((AH$1)/10,0)*10,[1]Hugst!$R$4:$W$4,0))))</f>
        <v>880.89455466914728</v>
      </c>
      <c r="AI63" s="168">
        <f ca="1">IF($C63-AI$1&lt;År1,0,AH62*(1-VLOOKUP($A63,[1]Hugst!$R$5:$W$9,MATCH(ROUNDUP((AI$1)/10,0)*10,[1]Hugst!$R$4:$W$4,0))))</f>
        <v>884.0622734437718</v>
      </c>
      <c r="AJ63" s="168">
        <f ca="1">IF($C63-AJ$1&lt;År1,0,AI62*(1-VLOOKUP($A63,[1]Hugst!$R$5:$W$9,MATCH(ROUNDUP((AJ$1)/10,0)*10,[1]Hugst!$R$4:$W$4,0))))</f>
        <v>884.3198866561213</v>
      </c>
      <c r="AL63" s="168">
        <f ca="1">SUM(F63:AJ63)</f>
        <v>26093.346126216118</v>
      </c>
    </row>
    <row r="64" spans="1:39" x14ac:dyDescent="0.25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*VLOOKUP(A64,Skovbrug!$A$13:$D$17,IF('Skovbrug-alder'!C64&lt;=År2,3,4),FALSE)-IF(C64&gt;2020,SUM(INDEX($C$1:$D$311,MATCH(1,(2020=$C$1:$C$311)*(B64=$B$1:$B$311)*(A64=$A$1:$A$311),0),2):D63),0))</f>
        <v>0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*VLOOKUP(A65,Skovbrug!$A$13:$D$17,IF('Skovbrug-alder'!C65&lt;=År2,3,4),FALSE)-IF(C65&gt;2020,SUM(INDEX($C$1:$D$311,MATCH(1,(2020=$C$1:$C$311)*(B65=$B$1:$B$311)*(A65=$A$1:$A$311),0),2):D64),0))</f>
        <v>0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8">
        <f ca="1">IF($C65-G$1&lt;År1,0,F64*(1-VLOOKUP($A65,[1]Hugst!$R$5:$W$9,MATCH(ROUNDUP((G$1)/10,0)*10,[1]Hugst!$R$4:$W$4,0))))</f>
        <v>0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*VLOOKUP(A66,Skovbrug!$A$13:$D$17,IF('Skovbrug-alder'!C66&lt;=År2,3,4),FALSE)-IF(C66&gt;2020,SUM(INDEX($C$1:$D$311,MATCH(1,(2020=$C$1:$C$311)*(B66=$B$1:$B$311)*(A66=$A$1:$A$311),0),2):D65),0))</f>
        <v>0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8">
        <f ca="1">IF($C66-G$1&lt;År1,0,F65*(1-VLOOKUP($A66,[1]Hugst!$R$5:$W$9,MATCH(ROUNDUP((G$1)/10,0)*10,[1]Hugst!$R$4:$W$4,0))))</f>
        <v>0</v>
      </c>
      <c r="H66" s="168">
        <f ca="1">IF($C66-H$1&lt;År1,0,G65*(1-VLOOKUP($A66,[1]Hugst!$R$5:$W$9,MATCH(ROUNDUP((H$1)/10,0)*10,[1]Hugst!$R$4:$W$4,0))))</f>
        <v>0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*VLOOKUP(A67,Skovbrug!$A$13:$D$17,IF('Skovbrug-alder'!C67&lt;=År2,3,4),FALSE)-IF(C67&gt;2020,SUM(INDEX($C$1:$D$311,MATCH(1,(2020=$C$1:$C$311)*(B67=$B$1:$B$311)*(A67=$A$1:$A$311),0),2):D66),0))</f>
        <v>0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8">
        <f ca="1">IF($C67-G$1&lt;År1,0,F66*(1-VLOOKUP($A67,[1]Hugst!$R$5:$W$9,MATCH(ROUNDUP((G$1)/10,0)*10,[1]Hugst!$R$4:$W$4,0))))</f>
        <v>0</v>
      </c>
      <c r="H67" s="168">
        <f ca="1">IF($C67-H$1&lt;År1,0,G66*(1-VLOOKUP($A67,[1]Hugst!$R$5:$W$9,MATCH(ROUNDUP((H$1)/10,0)*10,[1]Hugst!$R$4:$W$4,0))))</f>
        <v>0</v>
      </c>
      <c r="I67" s="168">
        <f ca="1">IF($C67-I$1&lt;År1,0,H66*(1-VLOOKUP($A67,[1]Hugst!$R$5:$W$9,MATCH(ROUNDUP((I$1)/10,0)*10,[1]Hugst!$R$4:$W$4,0))))</f>
        <v>0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*VLOOKUP(A68,Skovbrug!$A$13:$D$17,IF('Skovbrug-alder'!C68&lt;=År2,3,4),FALSE)-IF(C68&gt;2020,SUM(INDEX($C$1:$D$311,MATCH(1,(2020=$C$1:$C$311)*(B68=$B$1:$B$311)*(A68=$A$1:$A$311),0),2):D67),0))</f>
        <v>0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8">
        <f ca="1">IF($C68-G$1&lt;År1,0,F67*(1-VLOOKUP($A68,[1]Hugst!$R$5:$W$9,MATCH(ROUNDUP((G$1)/10,0)*10,[1]Hugst!$R$4:$W$4,0))))</f>
        <v>0</v>
      </c>
      <c r="H68" s="168">
        <f ca="1">IF($C68-H$1&lt;År1,0,G67*(1-VLOOKUP($A68,[1]Hugst!$R$5:$W$9,MATCH(ROUNDUP((H$1)/10,0)*10,[1]Hugst!$R$4:$W$4,0))))</f>
        <v>0</v>
      </c>
      <c r="I68" s="168">
        <f ca="1">IF($C68-I$1&lt;År1,0,H67*(1-VLOOKUP($A68,[1]Hugst!$R$5:$W$9,MATCH(ROUNDUP((I$1)/10,0)*10,[1]Hugst!$R$4:$W$4,0))))</f>
        <v>0</v>
      </c>
      <c r="J68" s="168">
        <f ca="1">IF($C68-J$1&lt;År1,0,I67*(1-VLOOKUP($A68,[1]Hugst!$R$5:$W$9,MATCH(ROUNDUP((J$1)/10,0)*10,[1]Hugst!$R$4:$W$4,0))))</f>
        <v>0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*VLOOKUP(A69,Skovbrug!$A$13:$D$17,IF('Skovbrug-alder'!C69&lt;=År2,3,4),FALSE)-IF(C69&gt;2020,SUM(INDEX($C$1:$D$311,MATCH(1,(2020=$C$1:$C$311)*(B69=$B$1:$B$311)*(A69=$A$1:$A$311),0),2):D68),0))</f>
        <v>0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8">
        <f ca="1">IF($C69-G$1&lt;År1,0,F68*(1-VLOOKUP($A69,[1]Hugst!$R$5:$W$9,MATCH(ROUNDUP((G$1)/10,0)*10,[1]Hugst!$R$4:$W$4,0))))</f>
        <v>0</v>
      </c>
      <c r="H69" s="168">
        <f ca="1">IF($C69-H$1&lt;År1,0,G68*(1-VLOOKUP($A69,[1]Hugst!$R$5:$W$9,MATCH(ROUNDUP((H$1)/10,0)*10,[1]Hugst!$R$4:$W$4,0))))</f>
        <v>0</v>
      </c>
      <c r="I69" s="168">
        <f ca="1">IF($C69-I$1&lt;År1,0,H68*(1-VLOOKUP($A69,[1]Hugst!$R$5:$W$9,MATCH(ROUNDUP((I$1)/10,0)*10,[1]Hugst!$R$4:$W$4,0))))</f>
        <v>0</v>
      </c>
      <c r="J69" s="168">
        <f ca="1">IF($C69-J$1&lt;År1,0,I68*(1-VLOOKUP($A69,[1]Hugst!$R$5:$W$9,MATCH(ROUNDUP((J$1)/10,0)*10,[1]Hugst!$R$4:$W$4,0))))</f>
        <v>0</v>
      </c>
      <c r="K69" s="168">
        <f ca="1">IF($C69-K$1&lt;År1,0,J68*(1-VLOOKUP($A69,[1]Hugst!$R$5:$W$9,MATCH(ROUNDUP((K$1)/10,0)*10,[1]Hugst!$R$4:$W$4,0))))</f>
        <v>0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*VLOOKUP(A70,Skovbrug!$A$13:$D$17,IF('Skovbrug-alder'!C70&lt;=År2,3,4),FALSE)-IF(C70&gt;2020,SUM(INDEX($C$1:$D$311,MATCH(1,(2020=$C$1:$C$311)*(B70=$B$1:$B$311)*(A70=$A$1:$A$311),0),2):D69),0))</f>
        <v>0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8">
        <f ca="1">IF($C70-G$1&lt;År1,0,F69*(1-VLOOKUP($A70,[1]Hugst!$R$5:$W$9,MATCH(ROUNDUP((G$1)/10,0)*10,[1]Hugst!$R$4:$W$4,0))))</f>
        <v>0</v>
      </c>
      <c r="H70" s="168">
        <f ca="1">IF($C70-H$1&lt;År1,0,G69*(1-VLOOKUP($A70,[1]Hugst!$R$5:$W$9,MATCH(ROUNDUP((H$1)/10,0)*10,[1]Hugst!$R$4:$W$4,0))))</f>
        <v>0</v>
      </c>
      <c r="I70" s="168">
        <f ca="1">IF($C70-I$1&lt;År1,0,H69*(1-VLOOKUP($A70,[1]Hugst!$R$5:$W$9,MATCH(ROUNDUP((I$1)/10,0)*10,[1]Hugst!$R$4:$W$4,0))))</f>
        <v>0</v>
      </c>
      <c r="J70" s="168">
        <f ca="1">IF($C70-J$1&lt;År1,0,I69*(1-VLOOKUP($A70,[1]Hugst!$R$5:$W$9,MATCH(ROUNDUP((J$1)/10,0)*10,[1]Hugst!$R$4:$W$4,0))))</f>
        <v>0</v>
      </c>
      <c r="K70" s="168">
        <f ca="1">IF($C70-K$1&lt;År1,0,J69*(1-VLOOKUP($A70,[1]Hugst!$R$5:$W$9,MATCH(ROUNDUP((K$1)/10,0)*10,[1]Hugst!$R$4:$W$4,0))))</f>
        <v>0</v>
      </c>
      <c r="L70" s="168">
        <f ca="1">IF($C70-L$1&lt;År1,0,K69*(1-VLOOKUP($A70,[1]Hugst!$R$5:$W$9,MATCH(ROUNDUP((L$1)/10,0)*10,[1]Hugst!$R$4:$W$4,0))))</f>
        <v>0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*VLOOKUP(A71,Skovbrug!$A$13:$D$17,IF('Skovbrug-alder'!C71&lt;=År2,3,4),FALSE)-IF(C71&gt;2020,SUM(INDEX($C$1:$D$311,MATCH(1,(2020=$C$1:$C$311)*(B71=$B$1:$B$311)*(A71=$A$1:$A$311),0),2):D70),0))</f>
        <v>0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8">
        <f ca="1">IF($C71-G$1&lt;År1,0,F70*(1-VLOOKUP($A71,[1]Hugst!$R$5:$W$9,MATCH(ROUNDUP((G$1)/10,0)*10,[1]Hugst!$R$4:$W$4,0))))</f>
        <v>0</v>
      </c>
      <c r="H71" s="168">
        <f ca="1">IF($C71-H$1&lt;År1,0,G70*(1-VLOOKUP($A71,[1]Hugst!$R$5:$W$9,MATCH(ROUNDUP((H$1)/10,0)*10,[1]Hugst!$R$4:$W$4,0))))</f>
        <v>0</v>
      </c>
      <c r="I71" s="168">
        <f ca="1">IF($C71-I$1&lt;År1,0,H70*(1-VLOOKUP($A71,[1]Hugst!$R$5:$W$9,MATCH(ROUNDUP((I$1)/10,0)*10,[1]Hugst!$R$4:$W$4,0))))</f>
        <v>0</v>
      </c>
      <c r="J71" s="168">
        <f ca="1">IF($C71-J$1&lt;År1,0,I70*(1-VLOOKUP($A71,[1]Hugst!$R$5:$W$9,MATCH(ROUNDUP((J$1)/10,0)*10,[1]Hugst!$R$4:$W$4,0))))</f>
        <v>0</v>
      </c>
      <c r="K71" s="168">
        <f ca="1">IF($C71-K$1&lt;År1,0,J70*(1-VLOOKUP($A71,[1]Hugst!$R$5:$W$9,MATCH(ROUNDUP((K$1)/10,0)*10,[1]Hugst!$R$4:$W$4,0))))</f>
        <v>0</v>
      </c>
      <c r="L71" s="168">
        <f ca="1">IF($C71-L$1&lt;År1,0,K70*(1-VLOOKUP($A71,[1]Hugst!$R$5:$W$9,MATCH(ROUNDUP((L$1)/10,0)*10,[1]Hugst!$R$4:$W$4,0))))</f>
        <v>0</v>
      </c>
      <c r="M71" s="168">
        <f ca="1">IF($C71-M$1&lt;År1,0,L70*(1-VLOOKUP($A71,[1]Hugst!$R$5:$W$9,MATCH(ROUNDUP((M$1)/10,0)*10,[1]Hugst!$R$4:$W$4,0))))</f>
        <v>0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*VLOOKUP(A72,Skovbrug!$A$13:$D$17,IF('Skovbrug-alder'!C72&lt;=År2,3,4),FALSE)-IF(C72&gt;2020,SUM(INDEX($C$1:$D$311,MATCH(1,(2020=$C$1:$C$311)*(B72=$B$1:$B$311)*(A72=$A$1:$A$311),0),2):D71),0))</f>
        <v>0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8">
        <f ca="1">IF($C72-G$1&lt;År1,0,F71*(1-VLOOKUP($A72,[1]Hugst!$R$5:$W$9,MATCH(ROUNDUP((G$1)/10,0)*10,[1]Hugst!$R$4:$W$4,0))))</f>
        <v>0</v>
      </c>
      <c r="H72" s="168">
        <f ca="1">IF($C72-H$1&lt;År1,0,G71*(1-VLOOKUP($A72,[1]Hugst!$R$5:$W$9,MATCH(ROUNDUP((H$1)/10,0)*10,[1]Hugst!$R$4:$W$4,0))))</f>
        <v>0</v>
      </c>
      <c r="I72" s="168">
        <f ca="1">IF($C72-I$1&lt;År1,0,H71*(1-VLOOKUP($A72,[1]Hugst!$R$5:$W$9,MATCH(ROUNDUP((I$1)/10,0)*10,[1]Hugst!$R$4:$W$4,0))))</f>
        <v>0</v>
      </c>
      <c r="J72" s="168">
        <f ca="1">IF($C72-J$1&lt;År1,0,I71*(1-VLOOKUP($A72,[1]Hugst!$R$5:$W$9,MATCH(ROUNDUP((J$1)/10,0)*10,[1]Hugst!$R$4:$W$4,0))))</f>
        <v>0</v>
      </c>
      <c r="K72" s="168">
        <f ca="1">IF($C72-K$1&lt;År1,0,J71*(1-VLOOKUP($A72,[1]Hugst!$R$5:$W$9,MATCH(ROUNDUP((K$1)/10,0)*10,[1]Hugst!$R$4:$W$4,0))))</f>
        <v>0</v>
      </c>
      <c r="L72" s="168">
        <f ca="1">IF($C72-L$1&lt;År1,0,K71*(1-VLOOKUP($A72,[1]Hugst!$R$5:$W$9,MATCH(ROUNDUP((L$1)/10,0)*10,[1]Hugst!$R$4:$W$4,0))))</f>
        <v>0</v>
      </c>
      <c r="M72" s="168">
        <f ca="1">IF($C72-M$1&lt;År1,0,L71*(1-VLOOKUP($A72,[1]Hugst!$R$5:$W$9,MATCH(ROUNDUP((M$1)/10,0)*10,[1]Hugst!$R$4:$W$4,0))))</f>
        <v>0</v>
      </c>
      <c r="N72" s="168">
        <f ca="1">IF($C72-N$1&lt;År1,0,M71*(1-VLOOKUP($A72,[1]Hugst!$R$5:$W$9,MATCH(ROUNDUP((N$1)/10,0)*10,[1]Hugst!$R$4:$W$4,0))))</f>
        <v>0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*VLOOKUP(A73,Skovbrug!$A$13:$D$17,IF('Skovbrug-alder'!C73&lt;=År2,3,4),FALSE)-IF(C73&gt;2020,SUM(INDEX($C$1:$D$311,MATCH(1,(2020=$C$1:$C$311)*(B73=$B$1:$B$311)*(A73=$A$1:$A$311),0),2):D72),0))</f>
        <v>0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8">
        <f ca="1">IF($C73-G$1&lt;År1,0,F72*(1-VLOOKUP($A73,[1]Hugst!$R$5:$W$9,MATCH(ROUNDUP((G$1)/10,0)*10,[1]Hugst!$R$4:$W$4,0))))</f>
        <v>0</v>
      </c>
      <c r="H73" s="168">
        <f ca="1">IF($C73-H$1&lt;År1,0,G72*(1-VLOOKUP($A73,[1]Hugst!$R$5:$W$9,MATCH(ROUNDUP((H$1)/10,0)*10,[1]Hugst!$R$4:$W$4,0))))</f>
        <v>0</v>
      </c>
      <c r="I73" s="168">
        <f ca="1">IF($C73-I$1&lt;År1,0,H72*(1-VLOOKUP($A73,[1]Hugst!$R$5:$W$9,MATCH(ROUNDUP((I$1)/10,0)*10,[1]Hugst!$R$4:$W$4,0))))</f>
        <v>0</v>
      </c>
      <c r="J73" s="168">
        <f ca="1">IF($C73-J$1&lt;År1,0,I72*(1-VLOOKUP($A73,[1]Hugst!$R$5:$W$9,MATCH(ROUNDUP((J$1)/10,0)*10,[1]Hugst!$R$4:$W$4,0))))</f>
        <v>0</v>
      </c>
      <c r="K73" s="168">
        <f ca="1">IF($C73-K$1&lt;År1,0,J72*(1-VLOOKUP($A73,[1]Hugst!$R$5:$W$9,MATCH(ROUNDUP((K$1)/10,0)*10,[1]Hugst!$R$4:$W$4,0))))</f>
        <v>0</v>
      </c>
      <c r="L73" s="168">
        <f ca="1">IF($C73-L$1&lt;År1,0,K72*(1-VLOOKUP($A73,[1]Hugst!$R$5:$W$9,MATCH(ROUNDUP((L$1)/10,0)*10,[1]Hugst!$R$4:$W$4,0))))</f>
        <v>0</v>
      </c>
      <c r="M73" s="168">
        <f ca="1">IF($C73-M$1&lt;År1,0,L72*(1-VLOOKUP($A73,[1]Hugst!$R$5:$W$9,MATCH(ROUNDUP((M$1)/10,0)*10,[1]Hugst!$R$4:$W$4,0))))</f>
        <v>0</v>
      </c>
      <c r="N73" s="168">
        <f ca="1">IF($C73-N$1&lt;År1,0,M72*(1-VLOOKUP($A73,[1]Hugst!$R$5:$W$9,MATCH(ROUNDUP((N$1)/10,0)*10,[1]Hugst!$R$4:$W$4,0))))</f>
        <v>0</v>
      </c>
      <c r="O73" s="168">
        <f ca="1">IF($C73-O$1&lt;År1,0,N72*(1-VLOOKUP($A73,[1]Hugst!$R$5:$W$9,MATCH(ROUNDUP((O$1)/10,0)*10,[1]Hugst!$R$4:$W$4,0))))</f>
        <v>0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*VLOOKUP(A74,Skovbrug!$A$13:$D$17,IF('Skovbrug-alder'!C74&lt;=År2,3,4),FALSE)-IF(C74&gt;2020,SUM(INDEX($C$1:$D$311,MATCH(1,(2020=$C$1:$C$311)*(B74=$B$1:$B$311)*(A74=$A$1:$A$311),0),2):D73),0))</f>
        <v>0</v>
      </c>
      <c r="E74" s="168">
        <f t="shared" ca="1" si="1"/>
        <v>0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8">
        <f ca="1">IF($C74-G$1&lt;År1,0,F73*(1-VLOOKUP($A74,[1]Hugst!$R$5:$W$9,MATCH(ROUNDUP((G$1)/10,0)*10,[1]Hugst!$R$4:$W$4,0))))</f>
        <v>0</v>
      </c>
      <c r="H74" s="168">
        <f ca="1">IF($C74-H$1&lt;År1,0,G73*(1-VLOOKUP($A74,[1]Hugst!$R$5:$W$9,MATCH(ROUNDUP((H$1)/10,0)*10,[1]Hugst!$R$4:$W$4,0))))</f>
        <v>0</v>
      </c>
      <c r="I74" s="168">
        <f ca="1">IF($C74-I$1&lt;År1,0,H73*(1-VLOOKUP($A74,[1]Hugst!$R$5:$W$9,MATCH(ROUNDUP((I$1)/10,0)*10,[1]Hugst!$R$4:$W$4,0))))</f>
        <v>0</v>
      </c>
      <c r="J74" s="168">
        <f ca="1">IF($C74-J$1&lt;År1,0,I73*(1-VLOOKUP($A74,[1]Hugst!$R$5:$W$9,MATCH(ROUNDUP((J$1)/10,0)*10,[1]Hugst!$R$4:$W$4,0))))</f>
        <v>0</v>
      </c>
      <c r="K74" s="168">
        <f ca="1">IF($C74-K$1&lt;År1,0,J73*(1-VLOOKUP($A74,[1]Hugst!$R$5:$W$9,MATCH(ROUNDUP((K$1)/10,0)*10,[1]Hugst!$R$4:$W$4,0))))</f>
        <v>0</v>
      </c>
      <c r="L74" s="168">
        <f ca="1">IF($C74-L$1&lt;År1,0,K73*(1-VLOOKUP($A74,[1]Hugst!$R$5:$W$9,MATCH(ROUNDUP((L$1)/10,0)*10,[1]Hugst!$R$4:$W$4,0))))</f>
        <v>0</v>
      </c>
      <c r="M74" s="168">
        <f ca="1">IF($C74-M$1&lt;År1,0,L73*(1-VLOOKUP($A74,[1]Hugst!$R$5:$W$9,MATCH(ROUNDUP((M$1)/10,0)*10,[1]Hugst!$R$4:$W$4,0))))</f>
        <v>0</v>
      </c>
      <c r="N74" s="168">
        <f ca="1">IF($C74-N$1&lt;År1,0,M73*(1-VLOOKUP($A74,[1]Hugst!$R$5:$W$9,MATCH(ROUNDUP((N$1)/10,0)*10,[1]Hugst!$R$4:$W$4,0))))</f>
        <v>0</v>
      </c>
      <c r="O74" s="168">
        <f ca="1">IF($C74-O$1&lt;År1,0,N73*(1-VLOOKUP($A74,[1]Hugst!$R$5:$W$9,MATCH(ROUNDUP((O$1)/10,0)*10,[1]Hugst!$R$4:$W$4,0))))</f>
        <v>0</v>
      </c>
      <c r="P74" s="168">
        <f ca="1">IF($C74-P$1&lt;År1,0,O73*(1-VLOOKUP($A74,[1]Hugst!$R$5:$W$9,MATCH(ROUNDUP((P$1)/10,0)*10,[1]Hugst!$R$4:$W$4,0))))</f>
        <v>0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*VLOOKUP(A75,Skovbrug!$A$13:$D$17,IF('Skovbrug-alder'!C75&lt;=År2,3,4),FALSE)-IF(C75&gt;2020,SUM(INDEX($C$1:$D$311,MATCH(1,(2020=$C$1:$C$311)*(B75=$B$1:$B$311)*(A75=$A$1:$A$311),0),2):D74),0))</f>
        <v>0</v>
      </c>
      <c r="E75" s="168">
        <f t="shared" ca="1" si="1"/>
        <v>0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8">
        <f ca="1">IF($C75-G$1&lt;År1,0,F74*(1-VLOOKUP($A75,[1]Hugst!$R$5:$W$9,MATCH(ROUNDUP((G$1)/10,0)*10,[1]Hugst!$R$4:$W$4,0))))</f>
        <v>0</v>
      </c>
      <c r="H75" s="168">
        <f ca="1">IF($C75-H$1&lt;År1,0,G74*(1-VLOOKUP($A75,[1]Hugst!$R$5:$W$9,MATCH(ROUNDUP((H$1)/10,0)*10,[1]Hugst!$R$4:$W$4,0))))</f>
        <v>0</v>
      </c>
      <c r="I75" s="168">
        <f ca="1">IF($C75-I$1&lt;År1,0,H74*(1-VLOOKUP($A75,[1]Hugst!$R$5:$W$9,MATCH(ROUNDUP((I$1)/10,0)*10,[1]Hugst!$R$4:$W$4,0))))</f>
        <v>0</v>
      </c>
      <c r="J75" s="168">
        <f ca="1">IF($C75-J$1&lt;År1,0,I74*(1-VLOOKUP($A75,[1]Hugst!$R$5:$W$9,MATCH(ROUNDUP((J$1)/10,0)*10,[1]Hugst!$R$4:$W$4,0))))</f>
        <v>0</v>
      </c>
      <c r="K75" s="168">
        <f ca="1">IF($C75-K$1&lt;År1,0,J74*(1-VLOOKUP($A75,[1]Hugst!$R$5:$W$9,MATCH(ROUNDUP((K$1)/10,0)*10,[1]Hugst!$R$4:$W$4,0))))</f>
        <v>0</v>
      </c>
      <c r="L75" s="168">
        <f ca="1">IF($C75-L$1&lt;År1,0,K74*(1-VLOOKUP($A75,[1]Hugst!$R$5:$W$9,MATCH(ROUNDUP((L$1)/10,0)*10,[1]Hugst!$R$4:$W$4,0))))</f>
        <v>0</v>
      </c>
      <c r="M75" s="168">
        <f ca="1">IF($C75-M$1&lt;År1,0,L74*(1-VLOOKUP($A75,[1]Hugst!$R$5:$W$9,MATCH(ROUNDUP((M$1)/10,0)*10,[1]Hugst!$R$4:$W$4,0))))</f>
        <v>0</v>
      </c>
      <c r="N75" s="168">
        <f ca="1">IF($C75-N$1&lt;År1,0,M74*(1-VLOOKUP($A75,[1]Hugst!$R$5:$W$9,MATCH(ROUNDUP((N$1)/10,0)*10,[1]Hugst!$R$4:$W$4,0))))</f>
        <v>0</v>
      </c>
      <c r="O75" s="168">
        <f ca="1">IF($C75-O$1&lt;År1,0,N74*(1-VLOOKUP($A75,[1]Hugst!$R$5:$W$9,MATCH(ROUNDUP((O$1)/10,0)*10,[1]Hugst!$R$4:$W$4,0))))</f>
        <v>0</v>
      </c>
      <c r="P75" s="168">
        <f ca="1">IF($C75-P$1&lt;År1,0,O74*(1-VLOOKUP($A75,[1]Hugst!$R$5:$W$9,MATCH(ROUNDUP((P$1)/10,0)*10,[1]Hugst!$R$4:$W$4,0))))</f>
        <v>0</v>
      </c>
      <c r="Q75" s="168">
        <f ca="1">IF($C75-Q$1&lt;År1,0,P74*(1-VLOOKUP($A75,[1]Hugst!$R$5:$W$9,MATCH(ROUNDUP((Q$1)/10,0)*10,[1]Hugst!$R$4:$W$4,0))))</f>
        <v>0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*VLOOKUP(A76,Skovbrug!$A$13:$D$17,IF('Skovbrug-alder'!C76&lt;=År2,3,4),FALSE)-IF(C76&gt;2020,SUM(INDEX($C$1:$D$311,MATCH(1,(2020=$C$1:$C$311)*(B76=$B$1:$B$311)*(A76=$A$1:$A$311),0),2):D75),0))</f>
        <v>0</v>
      </c>
      <c r="E76" s="168">
        <f t="shared" ca="1" si="1"/>
        <v>0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8">
        <f ca="1">IF($C76-G$1&lt;År1,0,F75*(1-VLOOKUP($A76,[1]Hugst!$R$5:$W$9,MATCH(ROUNDUP((G$1)/10,0)*10,[1]Hugst!$R$4:$W$4,0))))</f>
        <v>0</v>
      </c>
      <c r="H76" s="168">
        <f ca="1">IF($C76-H$1&lt;År1,0,G75*(1-VLOOKUP($A76,[1]Hugst!$R$5:$W$9,MATCH(ROUNDUP((H$1)/10,0)*10,[1]Hugst!$R$4:$W$4,0))))</f>
        <v>0</v>
      </c>
      <c r="I76" s="168">
        <f ca="1">IF($C76-I$1&lt;År1,0,H75*(1-VLOOKUP($A76,[1]Hugst!$R$5:$W$9,MATCH(ROUNDUP((I$1)/10,0)*10,[1]Hugst!$R$4:$W$4,0))))</f>
        <v>0</v>
      </c>
      <c r="J76" s="168">
        <f ca="1">IF($C76-J$1&lt;År1,0,I75*(1-VLOOKUP($A76,[1]Hugst!$R$5:$W$9,MATCH(ROUNDUP((J$1)/10,0)*10,[1]Hugst!$R$4:$W$4,0))))</f>
        <v>0</v>
      </c>
      <c r="K76" s="168">
        <f ca="1">IF($C76-K$1&lt;År1,0,J75*(1-VLOOKUP($A76,[1]Hugst!$R$5:$W$9,MATCH(ROUNDUP((K$1)/10,0)*10,[1]Hugst!$R$4:$W$4,0))))</f>
        <v>0</v>
      </c>
      <c r="L76" s="168">
        <f ca="1">IF($C76-L$1&lt;År1,0,K75*(1-VLOOKUP($A76,[1]Hugst!$R$5:$W$9,MATCH(ROUNDUP((L$1)/10,0)*10,[1]Hugst!$R$4:$W$4,0))))</f>
        <v>0</v>
      </c>
      <c r="M76" s="168">
        <f ca="1">IF($C76-M$1&lt;År1,0,L75*(1-VLOOKUP($A76,[1]Hugst!$R$5:$W$9,MATCH(ROUNDUP((M$1)/10,0)*10,[1]Hugst!$R$4:$W$4,0))))</f>
        <v>0</v>
      </c>
      <c r="N76" s="168">
        <f ca="1">IF($C76-N$1&lt;År1,0,M75*(1-VLOOKUP($A76,[1]Hugst!$R$5:$W$9,MATCH(ROUNDUP((N$1)/10,0)*10,[1]Hugst!$R$4:$W$4,0))))</f>
        <v>0</v>
      </c>
      <c r="O76" s="168">
        <f ca="1">IF($C76-O$1&lt;År1,0,N75*(1-VLOOKUP($A76,[1]Hugst!$R$5:$W$9,MATCH(ROUNDUP((O$1)/10,0)*10,[1]Hugst!$R$4:$W$4,0))))</f>
        <v>0</v>
      </c>
      <c r="P76" s="168">
        <f ca="1">IF($C76-P$1&lt;År1,0,O75*(1-VLOOKUP($A76,[1]Hugst!$R$5:$W$9,MATCH(ROUNDUP((P$1)/10,0)*10,[1]Hugst!$R$4:$W$4,0))))</f>
        <v>0</v>
      </c>
      <c r="Q76" s="168">
        <f ca="1">IF($C76-Q$1&lt;År1,0,P75*(1-VLOOKUP($A76,[1]Hugst!$R$5:$W$9,MATCH(ROUNDUP((Q$1)/10,0)*10,[1]Hugst!$R$4:$W$4,0))))</f>
        <v>0</v>
      </c>
      <c r="R76" s="168">
        <f ca="1">IF($C76-R$1&lt;År1,0,Q75*(1-VLOOKUP($A76,[1]Hugst!$R$5:$W$9,MATCH(ROUNDUP((R$1)/10,0)*10,[1]Hugst!$R$4:$W$4,0))))</f>
        <v>0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*VLOOKUP(A77,Skovbrug!$A$13:$D$17,IF('Skovbrug-alder'!C77&lt;=År2,3,4),FALSE)-IF(C77&gt;2020,SUM(INDEX($C$1:$D$311,MATCH(1,(2020=$C$1:$C$311)*(B77=$B$1:$B$311)*(A77=$A$1:$A$311),0),2):D76),0))</f>
        <v>0</v>
      </c>
      <c r="E77" s="168">
        <f t="shared" ca="1" si="1"/>
        <v>0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8">
        <f ca="1">IF($C77-G$1&lt;År1,0,F76*(1-VLOOKUP($A77,[1]Hugst!$R$5:$W$9,MATCH(ROUNDUP((G$1)/10,0)*10,[1]Hugst!$R$4:$W$4,0))))</f>
        <v>0</v>
      </c>
      <c r="H77" s="168">
        <f ca="1">IF($C77-H$1&lt;År1,0,G76*(1-VLOOKUP($A77,[1]Hugst!$R$5:$W$9,MATCH(ROUNDUP((H$1)/10,0)*10,[1]Hugst!$R$4:$W$4,0))))</f>
        <v>0</v>
      </c>
      <c r="I77" s="168">
        <f ca="1">IF($C77-I$1&lt;År1,0,H76*(1-VLOOKUP($A77,[1]Hugst!$R$5:$W$9,MATCH(ROUNDUP((I$1)/10,0)*10,[1]Hugst!$R$4:$W$4,0))))</f>
        <v>0</v>
      </c>
      <c r="J77" s="168">
        <f ca="1">IF($C77-J$1&lt;År1,0,I76*(1-VLOOKUP($A77,[1]Hugst!$R$5:$W$9,MATCH(ROUNDUP((J$1)/10,0)*10,[1]Hugst!$R$4:$W$4,0))))</f>
        <v>0</v>
      </c>
      <c r="K77" s="168">
        <f ca="1">IF($C77-K$1&lt;År1,0,J76*(1-VLOOKUP($A77,[1]Hugst!$R$5:$W$9,MATCH(ROUNDUP((K$1)/10,0)*10,[1]Hugst!$R$4:$W$4,0))))</f>
        <v>0</v>
      </c>
      <c r="L77" s="168">
        <f ca="1">IF($C77-L$1&lt;År1,0,K76*(1-VLOOKUP($A77,[1]Hugst!$R$5:$W$9,MATCH(ROUNDUP((L$1)/10,0)*10,[1]Hugst!$R$4:$W$4,0))))</f>
        <v>0</v>
      </c>
      <c r="M77" s="168">
        <f ca="1">IF($C77-M$1&lt;År1,0,L76*(1-VLOOKUP($A77,[1]Hugst!$R$5:$W$9,MATCH(ROUNDUP((M$1)/10,0)*10,[1]Hugst!$R$4:$W$4,0))))</f>
        <v>0</v>
      </c>
      <c r="N77" s="168">
        <f ca="1">IF($C77-N$1&lt;År1,0,M76*(1-VLOOKUP($A77,[1]Hugst!$R$5:$W$9,MATCH(ROUNDUP((N$1)/10,0)*10,[1]Hugst!$R$4:$W$4,0))))</f>
        <v>0</v>
      </c>
      <c r="O77" s="168">
        <f ca="1">IF($C77-O$1&lt;År1,0,N76*(1-VLOOKUP($A77,[1]Hugst!$R$5:$W$9,MATCH(ROUNDUP((O$1)/10,0)*10,[1]Hugst!$R$4:$W$4,0))))</f>
        <v>0</v>
      </c>
      <c r="P77" s="168">
        <f ca="1">IF($C77-P$1&lt;År1,0,O76*(1-VLOOKUP($A77,[1]Hugst!$R$5:$W$9,MATCH(ROUNDUP((P$1)/10,0)*10,[1]Hugst!$R$4:$W$4,0))))</f>
        <v>0</v>
      </c>
      <c r="Q77" s="168">
        <f ca="1">IF($C77-Q$1&lt;År1,0,P76*(1-VLOOKUP($A77,[1]Hugst!$R$5:$W$9,MATCH(ROUNDUP((Q$1)/10,0)*10,[1]Hugst!$R$4:$W$4,0))))</f>
        <v>0</v>
      </c>
      <c r="R77" s="168">
        <f ca="1">IF($C77-R$1&lt;År1,0,Q76*(1-VLOOKUP($A77,[1]Hugst!$R$5:$W$9,MATCH(ROUNDUP((R$1)/10,0)*10,[1]Hugst!$R$4:$W$4,0))))</f>
        <v>0</v>
      </c>
      <c r="S77" s="168">
        <f ca="1">IF($C77-S$1&lt;År1,0,R76*(1-VLOOKUP($A77,[1]Hugst!$R$5:$W$9,MATCH(ROUNDUP((S$1)/10,0)*10,[1]Hugst!$R$4:$W$4,0))))</f>
        <v>0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*VLOOKUP(A78,Skovbrug!$A$13:$D$17,IF('Skovbrug-alder'!C78&lt;=År2,3,4),FALSE)-IF(C78&gt;2020,SUM(INDEX($C$1:$D$311,MATCH(1,(2020=$C$1:$C$311)*(B78=$B$1:$B$311)*(A78=$A$1:$A$311),0),2):D77),0))</f>
        <v>0</v>
      </c>
      <c r="E78" s="168">
        <f t="shared" ca="1" si="1"/>
        <v>0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8">
        <f ca="1">IF($C78-G$1&lt;År1,0,F77*(1-VLOOKUP($A78,[1]Hugst!$R$5:$W$9,MATCH(ROUNDUP((G$1)/10,0)*10,[1]Hugst!$R$4:$W$4,0))))</f>
        <v>0</v>
      </c>
      <c r="H78" s="168">
        <f ca="1">IF($C78-H$1&lt;År1,0,G77*(1-VLOOKUP($A78,[1]Hugst!$R$5:$W$9,MATCH(ROUNDUP((H$1)/10,0)*10,[1]Hugst!$R$4:$W$4,0))))</f>
        <v>0</v>
      </c>
      <c r="I78" s="168">
        <f ca="1">IF($C78-I$1&lt;År1,0,H77*(1-VLOOKUP($A78,[1]Hugst!$R$5:$W$9,MATCH(ROUNDUP((I$1)/10,0)*10,[1]Hugst!$R$4:$W$4,0))))</f>
        <v>0</v>
      </c>
      <c r="J78" s="168">
        <f ca="1">IF($C78-J$1&lt;År1,0,I77*(1-VLOOKUP($A78,[1]Hugst!$R$5:$W$9,MATCH(ROUNDUP((J$1)/10,0)*10,[1]Hugst!$R$4:$W$4,0))))</f>
        <v>0</v>
      </c>
      <c r="K78" s="168">
        <f ca="1">IF($C78-K$1&lt;År1,0,J77*(1-VLOOKUP($A78,[1]Hugst!$R$5:$W$9,MATCH(ROUNDUP((K$1)/10,0)*10,[1]Hugst!$R$4:$W$4,0))))</f>
        <v>0</v>
      </c>
      <c r="L78" s="168">
        <f ca="1">IF($C78-L$1&lt;År1,0,K77*(1-VLOOKUP($A78,[1]Hugst!$R$5:$W$9,MATCH(ROUNDUP((L$1)/10,0)*10,[1]Hugst!$R$4:$W$4,0))))</f>
        <v>0</v>
      </c>
      <c r="M78" s="168">
        <f ca="1">IF($C78-M$1&lt;År1,0,L77*(1-VLOOKUP($A78,[1]Hugst!$R$5:$W$9,MATCH(ROUNDUP((M$1)/10,0)*10,[1]Hugst!$R$4:$W$4,0))))</f>
        <v>0</v>
      </c>
      <c r="N78" s="168">
        <f ca="1">IF($C78-N$1&lt;År1,0,M77*(1-VLOOKUP($A78,[1]Hugst!$R$5:$W$9,MATCH(ROUNDUP((N$1)/10,0)*10,[1]Hugst!$R$4:$W$4,0))))</f>
        <v>0</v>
      </c>
      <c r="O78" s="168">
        <f ca="1">IF($C78-O$1&lt;År1,0,N77*(1-VLOOKUP($A78,[1]Hugst!$R$5:$W$9,MATCH(ROUNDUP((O$1)/10,0)*10,[1]Hugst!$R$4:$W$4,0))))</f>
        <v>0</v>
      </c>
      <c r="P78" s="168">
        <f ca="1">IF($C78-P$1&lt;År1,0,O77*(1-VLOOKUP($A78,[1]Hugst!$R$5:$W$9,MATCH(ROUNDUP((P$1)/10,0)*10,[1]Hugst!$R$4:$W$4,0))))</f>
        <v>0</v>
      </c>
      <c r="Q78" s="168">
        <f ca="1">IF($C78-Q$1&lt;År1,0,P77*(1-VLOOKUP($A78,[1]Hugst!$R$5:$W$9,MATCH(ROUNDUP((Q$1)/10,0)*10,[1]Hugst!$R$4:$W$4,0))))</f>
        <v>0</v>
      </c>
      <c r="R78" s="168">
        <f ca="1">IF($C78-R$1&lt;År1,0,Q77*(1-VLOOKUP($A78,[1]Hugst!$R$5:$W$9,MATCH(ROUNDUP((R$1)/10,0)*10,[1]Hugst!$R$4:$W$4,0))))</f>
        <v>0</v>
      </c>
      <c r="S78" s="168">
        <f ca="1">IF($C78-S$1&lt;År1,0,R77*(1-VLOOKUP($A78,[1]Hugst!$R$5:$W$9,MATCH(ROUNDUP((S$1)/10,0)*10,[1]Hugst!$R$4:$W$4,0))))</f>
        <v>0</v>
      </c>
      <c r="T78" s="168">
        <f ca="1">IF($C78-T$1&lt;År1,0,S77*(1-VLOOKUP($A78,[1]Hugst!$R$5:$W$9,MATCH(ROUNDUP((T$1)/10,0)*10,[1]Hugst!$R$4:$W$4,0))))</f>
        <v>0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*VLOOKUP(A79,Skovbrug!$A$13:$D$17,IF('Skovbrug-alder'!C79&lt;=År2,3,4),FALSE)-IF(C79&gt;2020,SUM(INDEX($C$1:$D$311,MATCH(1,(2020=$C$1:$C$311)*(B79=$B$1:$B$311)*(A79=$A$1:$A$311),0),2):D78),0))</f>
        <v>0</v>
      </c>
      <c r="E79" s="168">
        <f t="shared" ca="1" si="1"/>
        <v>0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8">
        <f ca="1">IF($C79-G$1&lt;År1,0,F78*(1-VLOOKUP($A79,[1]Hugst!$R$5:$W$9,MATCH(ROUNDUP((G$1)/10,0)*10,[1]Hugst!$R$4:$W$4,0))))</f>
        <v>0</v>
      </c>
      <c r="H79" s="168">
        <f ca="1">IF($C79-H$1&lt;År1,0,G78*(1-VLOOKUP($A79,[1]Hugst!$R$5:$W$9,MATCH(ROUNDUP((H$1)/10,0)*10,[1]Hugst!$R$4:$W$4,0))))</f>
        <v>0</v>
      </c>
      <c r="I79" s="168">
        <f ca="1">IF($C79-I$1&lt;År1,0,H78*(1-VLOOKUP($A79,[1]Hugst!$R$5:$W$9,MATCH(ROUNDUP((I$1)/10,0)*10,[1]Hugst!$R$4:$W$4,0))))</f>
        <v>0</v>
      </c>
      <c r="J79" s="168">
        <f ca="1">IF($C79-J$1&lt;År1,0,I78*(1-VLOOKUP($A79,[1]Hugst!$R$5:$W$9,MATCH(ROUNDUP((J$1)/10,0)*10,[1]Hugst!$R$4:$W$4,0))))</f>
        <v>0</v>
      </c>
      <c r="K79" s="168">
        <f ca="1">IF($C79-K$1&lt;År1,0,J78*(1-VLOOKUP($A79,[1]Hugst!$R$5:$W$9,MATCH(ROUNDUP((K$1)/10,0)*10,[1]Hugst!$R$4:$W$4,0))))</f>
        <v>0</v>
      </c>
      <c r="L79" s="168">
        <f ca="1">IF($C79-L$1&lt;År1,0,K78*(1-VLOOKUP($A79,[1]Hugst!$R$5:$W$9,MATCH(ROUNDUP((L$1)/10,0)*10,[1]Hugst!$R$4:$W$4,0))))</f>
        <v>0</v>
      </c>
      <c r="M79" s="168">
        <f ca="1">IF($C79-M$1&lt;År1,0,L78*(1-VLOOKUP($A79,[1]Hugst!$R$5:$W$9,MATCH(ROUNDUP((M$1)/10,0)*10,[1]Hugst!$R$4:$W$4,0))))</f>
        <v>0</v>
      </c>
      <c r="N79" s="168">
        <f ca="1">IF($C79-N$1&lt;År1,0,M78*(1-VLOOKUP($A79,[1]Hugst!$R$5:$W$9,MATCH(ROUNDUP((N$1)/10,0)*10,[1]Hugst!$R$4:$W$4,0))))</f>
        <v>0</v>
      </c>
      <c r="O79" s="168">
        <f ca="1">IF($C79-O$1&lt;År1,0,N78*(1-VLOOKUP($A79,[1]Hugst!$R$5:$W$9,MATCH(ROUNDUP((O$1)/10,0)*10,[1]Hugst!$R$4:$W$4,0))))</f>
        <v>0</v>
      </c>
      <c r="P79" s="168">
        <f ca="1">IF($C79-P$1&lt;År1,0,O78*(1-VLOOKUP($A79,[1]Hugst!$R$5:$W$9,MATCH(ROUNDUP((P$1)/10,0)*10,[1]Hugst!$R$4:$W$4,0))))</f>
        <v>0</v>
      </c>
      <c r="Q79" s="168">
        <f ca="1">IF($C79-Q$1&lt;År1,0,P78*(1-VLOOKUP($A79,[1]Hugst!$R$5:$W$9,MATCH(ROUNDUP((Q$1)/10,0)*10,[1]Hugst!$R$4:$W$4,0))))</f>
        <v>0</v>
      </c>
      <c r="R79" s="168">
        <f ca="1">IF($C79-R$1&lt;År1,0,Q78*(1-VLOOKUP($A79,[1]Hugst!$R$5:$W$9,MATCH(ROUNDUP((R$1)/10,0)*10,[1]Hugst!$R$4:$W$4,0))))</f>
        <v>0</v>
      </c>
      <c r="S79" s="168">
        <f ca="1">IF($C79-S$1&lt;År1,0,R78*(1-VLOOKUP($A79,[1]Hugst!$R$5:$W$9,MATCH(ROUNDUP((S$1)/10,0)*10,[1]Hugst!$R$4:$W$4,0))))</f>
        <v>0</v>
      </c>
      <c r="T79" s="168">
        <f ca="1">IF($C79-T$1&lt;År1,0,S78*(1-VLOOKUP($A79,[1]Hugst!$R$5:$W$9,MATCH(ROUNDUP((T$1)/10,0)*10,[1]Hugst!$R$4:$W$4,0))))</f>
        <v>0</v>
      </c>
      <c r="U79" s="168">
        <f ca="1">IF($C79-U$1&lt;År1,0,T78*(1-VLOOKUP($A79,[1]Hugst!$R$5:$W$9,MATCH(ROUNDUP((U$1)/10,0)*10,[1]Hugst!$R$4:$W$4,0))))</f>
        <v>0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*VLOOKUP(A80,Skovbrug!$A$13:$D$17,IF('Skovbrug-alder'!C80&lt;=År2,3,4),FALSE)-IF(C80&gt;2020,SUM(INDEX($C$1:$D$311,MATCH(1,(2020=$C$1:$C$311)*(B80=$B$1:$B$311)*(A80=$A$1:$A$311),0),2):D79),0))</f>
        <v>0</v>
      </c>
      <c r="E80" s="168">
        <f t="shared" ca="1" si="1"/>
        <v>0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8">
        <f ca="1">IF($C80-G$1&lt;År1,0,F79*(1-VLOOKUP($A80,[1]Hugst!$R$5:$W$9,MATCH(ROUNDUP((G$1)/10,0)*10,[1]Hugst!$R$4:$W$4,0))))</f>
        <v>0</v>
      </c>
      <c r="H80" s="168">
        <f ca="1">IF($C80-H$1&lt;År1,0,G79*(1-VLOOKUP($A80,[1]Hugst!$R$5:$W$9,MATCH(ROUNDUP((H$1)/10,0)*10,[1]Hugst!$R$4:$W$4,0))))</f>
        <v>0</v>
      </c>
      <c r="I80" s="168">
        <f ca="1">IF($C80-I$1&lt;År1,0,H79*(1-VLOOKUP($A80,[1]Hugst!$R$5:$W$9,MATCH(ROUNDUP((I$1)/10,0)*10,[1]Hugst!$R$4:$W$4,0))))</f>
        <v>0</v>
      </c>
      <c r="J80" s="168">
        <f ca="1">IF($C80-J$1&lt;År1,0,I79*(1-VLOOKUP($A80,[1]Hugst!$R$5:$W$9,MATCH(ROUNDUP((J$1)/10,0)*10,[1]Hugst!$R$4:$W$4,0))))</f>
        <v>0</v>
      </c>
      <c r="K80" s="168">
        <f ca="1">IF($C80-K$1&lt;År1,0,J79*(1-VLOOKUP($A80,[1]Hugst!$R$5:$W$9,MATCH(ROUNDUP((K$1)/10,0)*10,[1]Hugst!$R$4:$W$4,0))))</f>
        <v>0</v>
      </c>
      <c r="L80" s="168">
        <f ca="1">IF($C80-L$1&lt;År1,0,K79*(1-VLOOKUP($A80,[1]Hugst!$R$5:$W$9,MATCH(ROUNDUP((L$1)/10,0)*10,[1]Hugst!$R$4:$W$4,0))))</f>
        <v>0</v>
      </c>
      <c r="M80" s="168">
        <f ca="1">IF($C80-M$1&lt;År1,0,L79*(1-VLOOKUP($A80,[1]Hugst!$R$5:$W$9,MATCH(ROUNDUP((M$1)/10,0)*10,[1]Hugst!$R$4:$W$4,0))))</f>
        <v>0</v>
      </c>
      <c r="N80" s="168">
        <f ca="1">IF($C80-N$1&lt;År1,0,M79*(1-VLOOKUP($A80,[1]Hugst!$R$5:$W$9,MATCH(ROUNDUP((N$1)/10,0)*10,[1]Hugst!$R$4:$W$4,0))))</f>
        <v>0</v>
      </c>
      <c r="O80" s="168">
        <f ca="1">IF($C80-O$1&lt;År1,0,N79*(1-VLOOKUP($A80,[1]Hugst!$R$5:$W$9,MATCH(ROUNDUP((O$1)/10,0)*10,[1]Hugst!$R$4:$W$4,0))))</f>
        <v>0</v>
      </c>
      <c r="P80" s="168">
        <f ca="1">IF($C80-P$1&lt;År1,0,O79*(1-VLOOKUP($A80,[1]Hugst!$R$5:$W$9,MATCH(ROUNDUP((P$1)/10,0)*10,[1]Hugst!$R$4:$W$4,0))))</f>
        <v>0</v>
      </c>
      <c r="Q80" s="168">
        <f ca="1">IF($C80-Q$1&lt;År1,0,P79*(1-VLOOKUP($A80,[1]Hugst!$R$5:$W$9,MATCH(ROUNDUP((Q$1)/10,0)*10,[1]Hugst!$R$4:$W$4,0))))</f>
        <v>0</v>
      </c>
      <c r="R80" s="168">
        <f ca="1">IF($C80-R$1&lt;År1,0,Q79*(1-VLOOKUP($A80,[1]Hugst!$R$5:$W$9,MATCH(ROUNDUP((R$1)/10,0)*10,[1]Hugst!$R$4:$W$4,0))))</f>
        <v>0</v>
      </c>
      <c r="S80" s="168">
        <f ca="1">IF($C80-S$1&lt;År1,0,R79*(1-VLOOKUP($A80,[1]Hugst!$R$5:$W$9,MATCH(ROUNDUP((S$1)/10,0)*10,[1]Hugst!$R$4:$W$4,0))))</f>
        <v>0</v>
      </c>
      <c r="T80" s="168">
        <f ca="1">IF($C80-T$1&lt;År1,0,S79*(1-VLOOKUP($A80,[1]Hugst!$R$5:$W$9,MATCH(ROUNDUP((T$1)/10,0)*10,[1]Hugst!$R$4:$W$4,0))))</f>
        <v>0</v>
      </c>
      <c r="U80" s="168">
        <f ca="1">IF($C80-U$1&lt;År1,0,T79*(1-VLOOKUP($A80,[1]Hugst!$R$5:$W$9,MATCH(ROUNDUP((U$1)/10,0)*10,[1]Hugst!$R$4:$W$4,0))))</f>
        <v>0</v>
      </c>
      <c r="V80" s="168">
        <f ca="1">IF($C80-V$1&lt;År1,0,U79*(1-VLOOKUP($A80,[1]Hugst!$R$5:$W$9,MATCH(ROUNDUP((V$1)/10,0)*10,[1]Hugst!$R$4:$W$4,0))))</f>
        <v>0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*VLOOKUP(A81,Skovbrug!$A$13:$D$17,IF('Skovbrug-alder'!C81&lt;=År2,3,4),FALSE)-IF(C81&gt;2020,SUM(INDEX($C$1:$D$311,MATCH(1,(2020=$C$1:$C$311)*(B81=$B$1:$B$311)*(A81=$A$1:$A$311),0),2):D80),0))</f>
        <v>0</v>
      </c>
      <c r="E81" s="168">
        <f t="shared" ca="1" si="1"/>
        <v>0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8">
        <f ca="1">IF($C81-G$1&lt;År1,0,F80*(1-VLOOKUP($A81,[1]Hugst!$R$5:$W$9,MATCH(ROUNDUP((G$1)/10,0)*10,[1]Hugst!$R$4:$W$4,0))))</f>
        <v>0</v>
      </c>
      <c r="H81" s="168">
        <f ca="1">IF($C81-H$1&lt;År1,0,G80*(1-VLOOKUP($A81,[1]Hugst!$R$5:$W$9,MATCH(ROUNDUP((H$1)/10,0)*10,[1]Hugst!$R$4:$W$4,0))))</f>
        <v>0</v>
      </c>
      <c r="I81" s="168">
        <f ca="1">IF($C81-I$1&lt;År1,0,H80*(1-VLOOKUP($A81,[1]Hugst!$R$5:$W$9,MATCH(ROUNDUP((I$1)/10,0)*10,[1]Hugst!$R$4:$W$4,0))))</f>
        <v>0</v>
      </c>
      <c r="J81" s="168">
        <f ca="1">IF($C81-J$1&lt;År1,0,I80*(1-VLOOKUP($A81,[1]Hugst!$R$5:$W$9,MATCH(ROUNDUP((J$1)/10,0)*10,[1]Hugst!$R$4:$W$4,0))))</f>
        <v>0</v>
      </c>
      <c r="K81" s="168">
        <f ca="1">IF($C81-K$1&lt;År1,0,J80*(1-VLOOKUP($A81,[1]Hugst!$R$5:$W$9,MATCH(ROUNDUP((K$1)/10,0)*10,[1]Hugst!$R$4:$W$4,0))))</f>
        <v>0</v>
      </c>
      <c r="L81" s="168">
        <f ca="1">IF($C81-L$1&lt;År1,0,K80*(1-VLOOKUP($A81,[1]Hugst!$R$5:$W$9,MATCH(ROUNDUP((L$1)/10,0)*10,[1]Hugst!$R$4:$W$4,0))))</f>
        <v>0</v>
      </c>
      <c r="M81" s="168">
        <f ca="1">IF($C81-M$1&lt;År1,0,L80*(1-VLOOKUP($A81,[1]Hugst!$R$5:$W$9,MATCH(ROUNDUP((M$1)/10,0)*10,[1]Hugst!$R$4:$W$4,0))))</f>
        <v>0</v>
      </c>
      <c r="N81" s="168">
        <f ca="1">IF($C81-N$1&lt;År1,0,M80*(1-VLOOKUP($A81,[1]Hugst!$R$5:$W$9,MATCH(ROUNDUP((N$1)/10,0)*10,[1]Hugst!$R$4:$W$4,0))))</f>
        <v>0</v>
      </c>
      <c r="O81" s="168">
        <f ca="1">IF($C81-O$1&lt;År1,0,N80*(1-VLOOKUP($A81,[1]Hugst!$R$5:$W$9,MATCH(ROUNDUP((O$1)/10,0)*10,[1]Hugst!$R$4:$W$4,0))))</f>
        <v>0</v>
      </c>
      <c r="P81" s="168">
        <f ca="1">IF($C81-P$1&lt;År1,0,O80*(1-VLOOKUP($A81,[1]Hugst!$R$5:$W$9,MATCH(ROUNDUP((P$1)/10,0)*10,[1]Hugst!$R$4:$W$4,0))))</f>
        <v>0</v>
      </c>
      <c r="Q81" s="168">
        <f ca="1">IF($C81-Q$1&lt;År1,0,P80*(1-VLOOKUP($A81,[1]Hugst!$R$5:$W$9,MATCH(ROUNDUP((Q$1)/10,0)*10,[1]Hugst!$R$4:$W$4,0))))</f>
        <v>0</v>
      </c>
      <c r="R81" s="168">
        <f ca="1">IF($C81-R$1&lt;År1,0,Q80*(1-VLOOKUP($A81,[1]Hugst!$R$5:$W$9,MATCH(ROUNDUP((R$1)/10,0)*10,[1]Hugst!$R$4:$W$4,0))))</f>
        <v>0</v>
      </c>
      <c r="S81" s="168">
        <f ca="1">IF($C81-S$1&lt;År1,0,R80*(1-VLOOKUP($A81,[1]Hugst!$R$5:$W$9,MATCH(ROUNDUP((S$1)/10,0)*10,[1]Hugst!$R$4:$W$4,0))))</f>
        <v>0</v>
      </c>
      <c r="T81" s="168">
        <f ca="1">IF($C81-T$1&lt;År1,0,S80*(1-VLOOKUP($A81,[1]Hugst!$R$5:$W$9,MATCH(ROUNDUP((T$1)/10,0)*10,[1]Hugst!$R$4:$W$4,0))))</f>
        <v>0</v>
      </c>
      <c r="U81" s="168">
        <f ca="1">IF($C81-U$1&lt;År1,0,T80*(1-VLOOKUP($A81,[1]Hugst!$R$5:$W$9,MATCH(ROUNDUP((U$1)/10,0)*10,[1]Hugst!$R$4:$W$4,0))))</f>
        <v>0</v>
      </c>
      <c r="V81" s="168">
        <f ca="1">IF($C81-V$1&lt;År1,0,U80*(1-VLOOKUP($A81,[1]Hugst!$R$5:$W$9,MATCH(ROUNDUP((V$1)/10,0)*10,[1]Hugst!$R$4:$W$4,0))))</f>
        <v>0</v>
      </c>
      <c r="W81" s="168">
        <f ca="1">IF($C81-W$1&lt;År1,0,V80*(1-VLOOKUP($A81,[1]Hugst!$R$5:$W$9,MATCH(ROUNDUP((W$1)/10,0)*10,[1]Hugst!$R$4:$W$4,0))))</f>
        <v>0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*VLOOKUP(A82,Skovbrug!$A$13:$D$17,IF('Skovbrug-alder'!C82&lt;=År2,3,4),FALSE)-IF(C82&gt;2020,SUM(INDEX($C$1:$D$311,MATCH(1,(2020=$C$1:$C$311)*(B82=$B$1:$B$311)*(A82=$A$1:$A$311),0),2):D81),0))</f>
        <v>0</v>
      </c>
      <c r="E82" s="168">
        <f t="shared" ca="1" si="1"/>
        <v>0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8">
        <f ca="1">IF($C82-G$1&lt;År1,0,F81*(1-VLOOKUP($A82,[1]Hugst!$R$5:$W$9,MATCH(ROUNDUP((G$1)/10,0)*10,[1]Hugst!$R$4:$W$4,0))))</f>
        <v>0</v>
      </c>
      <c r="H82" s="168">
        <f ca="1">IF($C82-H$1&lt;År1,0,G81*(1-VLOOKUP($A82,[1]Hugst!$R$5:$W$9,MATCH(ROUNDUP((H$1)/10,0)*10,[1]Hugst!$R$4:$W$4,0))))</f>
        <v>0</v>
      </c>
      <c r="I82" s="168">
        <f ca="1">IF($C82-I$1&lt;År1,0,H81*(1-VLOOKUP($A82,[1]Hugst!$R$5:$W$9,MATCH(ROUNDUP((I$1)/10,0)*10,[1]Hugst!$R$4:$W$4,0))))</f>
        <v>0</v>
      </c>
      <c r="J82" s="168">
        <f ca="1">IF($C82-J$1&lt;År1,0,I81*(1-VLOOKUP($A82,[1]Hugst!$R$5:$W$9,MATCH(ROUNDUP((J$1)/10,0)*10,[1]Hugst!$R$4:$W$4,0))))</f>
        <v>0</v>
      </c>
      <c r="K82" s="168">
        <f ca="1">IF($C82-K$1&lt;År1,0,J81*(1-VLOOKUP($A82,[1]Hugst!$R$5:$W$9,MATCH(ROUNDUP((K$1)/10,0)*10,[1]Hugst!$R$4:$W$4,0))))</f>
        <v>0</v>
      </c>
      <c r="L82" s="168">
        <f ca="1">IF($C82-L$1&lt;År1,0,K81*(1-VLOOKUP($A82,[1]Hugst!$R$5:$W$9,MATCH(ROUNDUP((L$1)/10,0)*10,[1]Hugst!$R$4:$W$4,0))))</f>
        <v>0</v>
      </c>
      <c r="M82" s="168">
        <f ca="1">IF($C82-M$1&lt;År1,0,L81*(1-VLOOKUP($A82,[1]Hugst!$R$5:$W$9,MATCH(ROUNDUP((M$1)/10,0)*10,[1]Hugst!$R$4:$W$4,0))))</f>
        <v>0</v>
      </c>
      <c r="N82" s="168">
        <f ca="1">IF($C82-N$1&lt;År1,0,M81*(1-VLOOKUP($A82,[1]Hugst!$R$5:$W$9,MATCH(ROUNDUP((N$1)/10,0)*10,[1]Hugst!$R$4:$W$4,0))))</f>
        <v>0</v>
      </c>
      <c r="O82" s="168">
        <f ca="1">IF($C82-O$1&lt;År1,0,N81*(1-VLOOKUP($A82,[1]Hugst!$R$5:$W$9,MATCH(ROUNDUP((O$1)/10,0)*10,[1]Hugst!$R$4:$W$4,0))))</f>
        <v>0</v>
      </c>
      <c r="P82" s="168">
        <f ca="1">IF($C82-P$1&lt;År1,0,O81*(1-VLOOKUP($A82,[1]Hugst!$R$5:$W$9,MATCH(ROUNDUP((P$1)/10,0)*10,[1]Hugst!$R$4:$W$4,0))))</f>
        <v>0</v>
      </c>
      <c r="Q82" s="168">
        <f ca="1">IF($C82-Q$1&lt;År1,0,P81*(1-VLOOKUP($A82,[1]Hugst!$R$5:$W$9,MATCH(ROUNDUP((Q$1)/10,0)*10,[1]Hugst!$R$4:$W$4,0))))</f>
        <v>0</v>
      </c>
      <c r="R82" s="168">
        <f ca="1">IF($C82-R$1&lt;År1,0,Q81*(1-VLOOKUP($A82,[1]Hugst!$R$5:$W$9,MATCH(ROUNDUP((R$1)/10,0)*10,[1]Hugst!$R$4:$W$4,0))))</f>
        <v>0</v>
      </c>
      <c r="S82" s="168">
        <f ca="1">IF($C82-S$1&lt;År1,0,R81*(1-VLOOKUP($A82,[1]Hugst!$R$5:$W$9,MATCH(ROUNDUP((S$1)/10,0)*10,[1]Hugst!$R$4:$W$4,0))))</f>
        <v>0</v>
      </c>
      <c r="T82" s="168">
        <f ca="1">IF($C82-T$1&lt;År1,0,S81*(1-VLOOKUP($A82,[1]Hugst!$R$5:$W$9,MATCH(ROUNDUP((T$1)/10,0)*10,[1]Hugst!$R$4:$W$4,0))))</f>
        <v>0</v>
      </c>
      <c r="U82" s="168">
        <f ca="1">IF($C82-U$1&lt;År1,0,T81*(1-VLOOKUP($A82,[1]Hugst!$R$5:$W$9,MATCH(ROUNDUP((U$1)/10,0)*10,[1]Hugst!$R$4:$W$4,0))))</f>
        <v>0</v>
      </c>
      <c r="V82" s="168">
        <f ca="1">IF($C82-V$1&lt;År1,0,U81*(1-VLOOKUP($A82,[1]Hugst!$R$5:$W$9,MATCH(ROUNDUP((V$1)/10,0)*10,[1]Hugst!$R$4:$W$4,0))))</f>
        <v>0</v>
      </c>
      <c r="W82" s="168">
        <f ca="1">IF($C82-W$1&lt;År1,0,V81*(1-VLOOKUP($A82,[1]Hugst!$R$5:$W$9,MATCH(ROUNDUP((W$1)/10,0)*10,[1]Hugst!$R$4:$W$4,0))))</f>
        <v>0</v>
      </c>
      <c r="X82" s="168">
        <f ca="1">IF($C82-X$1&lt;År1,0,W81*(1-VLOOKUP($A82,[1]Hugst!$R$5:$W$9,MATCH(ROUNDUP((X$1)/10,0)*10,[1]Hugst!$R$4:$W$4,0))))</f>
        <v>0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*VLOOKUP(A83,Skovbrug!$A$13:$D$17,IF('Skovbrug-alder'!C83&lt;=År2,3,4),FALSE)-IF(C83&gt;2020,SUM(INDEX($C$1:$D$311,MATCH(1,(2020=$C$1:$C$311)*(B83=$B$1:$B$311)*(A83=$A$1:$A$311),0),2):D82),0))</f>
        <v>0</v>
      </c>
      <c r="E83" s="168">
        <f t="shared" ca="1" si="1"/>
        <v>0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8">
        <f ca="1">IF($C83-G$1&lt;År1,0,F82*(1-VLOOKUP($A83,[1]Hugst!$R$5:$W$9,MATCH(ROUNDUP((G$1)/10,0)*10,[1]Hugst!$R$4:$W$4,0))))</f>
        <v>0</v>
      </c>
      <c r="H83" s="168">
        <f ca="1">IF($C83-H$1&lt;År1,0,G82*(1-VLOOKUP($A83,[1]Hugst!$R$5:$W$9,MATCH(ROUNDUP((H$1)/10,0)*10,[1]Hugst!$R$4:$W$4,0))))</f>
        <v>0</v>
      </c>
      <c r="I83" s="168">
        <f ca="1">IF($C83-I$1&lt;År1,0,H82*(1-VLOOKUP($A83,[1]Hugst!$R$5:$W$9,MATCH(ROUNDUP((I$1)/10,0)*10,[1]Hugst!$R$4:$W$4,0))))</f>
        <v>0</v>
      </c>
      <c r="J83" s="168">
        <f ca="1">IF($C83-J$1&lt;År1,0,I82*(1-VLOOKUP($A83,[1]Hugst!$R$5:$W$9,MATCH(ROUNDUP((J$1)/10,0)*10,[1]Hugst!$R$4:$W$4,0))))</f>
        <v>0</v>
      </c>
      <c r="K83" s="168">
        <f ca="1">IF($C83-K$1&lt;År1,0,J82*(1-VLOOKUP($A83,[1]Hugst!$R$5:$W$9,MATCH(ROUNDUP((K$1)/10,0)*10,[1]Hugst!$R$4:$W$4,0))))</f>
        <v>0</v>
      </c>
      <c r="L83" s="168">
        <f ca="1">IF($C83-L$1&lt;År1,0,K82*(1-VLOOKUP($A83,[1]Hugst!$R$5:$W$9,MATCH(ROUNDUP((L$1)/10,0)*10,[1]Hugst!$R$4:$W$4,0))))</f>
        <v>0</v>
      </c>
      <c r="M83" s="168">
        <f ca="1">IF($C83-M$1&lt;År1,0,L82*(1-VLOOKUP($A83,[1]Hugst!$R$5:$W$9,MATCH(ROUNDUP((M$1)/10,0)*10,[1]Hugst!$R$4:$W$4,0))))</f>
        <v>0</v>
      </c>
      <c r="N83" s="168">
        <f ca="1">IF($C83-N$1&lt;År1,0,M82*(1-VLOOKUP($A83,[1]Hugst!$R$5:$W$9,MATCH(ROUNDUP((N$1)/10,0)*10,[1]Hugst!$R$4:$W$4,0))))</f>
        <v>0</v>
      </c>
      <c r="O83" s="168">
        <f ca="1">IF($C83-O$1&lt;År1,0,N82*(1-VLOOKUP($A83,[1]Hugst!$R$5:$W$9,MATCH(ROUNDUP((O$1)/10,0)*10,[1]Hugst!$R$4:$W$4,0))))</f>
        <v>0</v>
      </c>
      <c r="P83" s="168">
        <f ca="1">IF($C83-P$1&lt;År1,0,O82*(1-VLOOKUP($A83,[1]Hugst!$R$5:$W$9,MATCH(ROUNDUP((P$1)/10,0)*10,[1]Hugst!$R$4:$W$4,0))))</f>
        <v>0</v>
      </c>
      <c r="Q83" s="168">
        <f ca="1">IF($C83-Q$1&lt;År1,0,P82*(1-VLOOKUP($A83,[1]Hugst!$R$5:$W$9,MATCH(ROUNDUP((Q$1)/10,0)*10,[1]Hugst!$R$4:$W$4,0))))</f>
        <v>0</v>
      </c>
      <c r="R83" s="168">
        <f ca="1">IF($C83-R$1&lt;År1,0,Q82*(1-VLOOKUP($A83,[1]Hugst!$R$5:$W$9,MATCH(ROUNDUP((R$1)/10,0)*10,[1]Hugst!$R$4:$W$4,0))))</f>
        <v>0</v>
      </c>
      <c r="S83" s="168">
        <f ca="1">IF($C83-S$1&lt;År1,0,R82*(1-VLOOKUP($A83,[1]Hugst!$R$5:$W$9,MATCH(ROUNDUP((S$1)/10,0)*10,[1]Hugst!$R$4:$W$4,0))))</f>
        <v>0</v>
      </c>
      <c r="T83" s="168">
        <f ca="1">IF($C83-T$1&lt;År1,0,S82*(1-VLOOKUP($A83,[1]Hugst!$R$5:$W$9,MATCH(ROUNDUP((T$1)/10,0)*10,[1]Hugst!$R$4:$W$4,0))))</f>
        <v>0</v>
      </c>
      <c r="U83" s="168">
        <f ca="1">IF($C83-U$1&lt;År1,0,T82*(1-VLOOKUP($A83,[1]Hugst!$R$5:$W$9,MATCH(ROUNDUP((U$1)/10,0)*10,[1]Hugst!$R$4:$W$4,0))))</f>
        <v>0</v>
      </c>
      <c r="V83" s="168">
        <f ca="1">IF($C83-V$1&lt;År1,0,U82*(1-VLOOKUP($A83,[1]Hugst!$R$5:$W$9,MATCH(ROUNDUP((V$1)/10,0)*10,[1]Hugst!$R$4:$W$4,0))))</f>
        <v>0</v>
      </c>
      <c r="W83" s="168">
        <f ca="1">IF($C83-W$1&lt;År1,0,V82*(1-VLOOKUP($A83,[1]Hugst!$R$5:$W$9,MATCH(ROUNDUP((W$1)/10,0)*10,[1]Hugst!$R$4:$W$4,0))))</f>
        <v>0</v>
      </c>
      <c r="X83" s="168">
        <f ca="1">IF($C83-X$1&lt;År1,0,W82*(1-VLOOKUP($A83,[1]Hugst!$R$5:$W$9,MATCH(ROUNDUP((X$1)/10,0)*10,[1]Hugst!$R$4:$W$4,0))))</f>
        <v>0</v>
      </c>
      <c r="Y83" s="168">
        <f ca="1">IF($C83-Y$1&lt;År1,0,X82*(1-VLOOKUP($A83,[1]Hugst!$R$5:$W$9,MATCH(ROUNDUP((Y$1)/10,0)*10,[1]Hugst!$R$4:$W$4,0))))</f>
        <v>0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*VLOOKUP(A84,Skovbrug!$A$13:$D$17,IF('Skovbrug-alder'!C84&lt;=År2,3,4),FALSE)-IF(C84&gt;2020,SUM(INDEX($C$1:$D$311,MATCH(1,(2020=$C$1:$C$311)*(B84=$B$1:$B$311)*(A84=$A$1:$A$311),0),2):D83),0))</f>
        <v>0</v>
      </c>
      <c r="E84" s="168">
        <f t="shared" ca="1" si="1"/>
        <v>0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8">
        <f ca="1">IF($C84-G$1&lt;År1,0,F83*(1-VLOOKUP($A84,[1]Hugst!$R$5:$W$9,MATCH(ROUNDUP((G$1)/10,0)*10,[1]Hugst!$R$4:$W$4,0))))</f>
        <v>0</v>
      </c>
      <c r="H84" s="168">
        <f ca="1">IF($C84-H$1&lt;År1,0,G83*(1-VLOOKUP($A84,[1]Hugst!$R$5:$W$9,MATCH(ROUNDUP((H$1)/10,0)*10,[1]Hugst!$R$4:$W$4,0))))</f>
        <v>0</v>
      </c>
      <c r="I84" s="168">
        <f ca="1">IF($C84-I$1&lt;År1,0,H83*(1-VLOOKUP($A84,[1]Hugst!$R$5:$W$9,MATCH(ROUNDUP((I$1)/10,0)*10,[1]Hugst!$R$4:$W$4,0))))</f>
        <v>0</v>
      </c>
      <c r="J84" s="168">
        <f ca="1">IF($C84-J$1&lt;År1,0,I83*(1-VLOOKUP($A84,[1]Hugst!$R$5:$W$9,MATCH(ROUNDUP((J$1)/10,0)*10,[1]Hugst!$R$4:$W$4,0))))</f>
        <v>0</v>
      </c>
      <c r="K84" s="168">
        <f ca="1">IF($C84-K$1&lt;År1,0,J83*(1-VLOOKUP($A84,[1]Hugst!$R$5:$W$9,MATCH(ROUNDUP((K$1)/10,0)*10,[1]Hugst!$R$4:$W$4,0))))</f>
        <v>0</v>
      </c>
      <c r="L84" s="168">
        <f ca="1">IF($C84-L$1&lt;År1,0,K83*(1-VLOOKUP($A84,[1]Hugst!$R$5:$W$9,MATCH(ROUNDUP((L$1)/10,0)*10,[1]Hugst!$R$4:$W$4,0))))</f>
        <v>0</v>
      </c>
      <c r="M84" s="168">
        <f ca="1">IF($C84-M$1&lt;År1,0,L83*(1-VLOOKUP($A84,[1]Hugst!$R$5:$W$9,MATCH(ROUNDUP((M$1)/10,0)*10,[1]Hugst!$R$4:$W$4,0))))</f>
        <v>0</v>
      </c>
      <c r="N84" s="168">
        <f ca="1">IF($C84-N$1&lt;År1,0,M83*(1-VLOOKUP($A84,[1]Hugst!$R$5:$W$9,MATCH(ROUNDUP((N$1)/10,0)*10,[1]Hugst!$R$4:$W$4,0))))</f>
        <v>0</v>
      </c>
      <c r="O84" s="168">
        <f ca="1">IF($C84-O$1&lt;År1,0,N83*(1-VLOOKUP($A84,[1]Hugst!$R$5:$W$9,MATCH(ROUNDUP((O$1)/10,0)*10,[1]Hugst!$R$4:$W$4,0))))</f>
        <v>0</v>
      </c>
      <c r="P84" s="168">
        <f ca="1">IF($C84-P$1&lt;År1,0,O83*(1-VLOOKUP($A84,[1]Hugst!$R$5:$W$9,MATCH(ROUNDUP((P$1)/10,0)*10,[1]Hugst!$R$4:$W$4,0))))</f>
        <v>0</v>
      </c>
      <c r="Q84" s="168">
        <f ca="1">IF($C84-Q$1&lt;År1,0,P83*(1-VLOOKUP($A84,[1]Hugst!$R$5:$W$9,MATCH(ROUNDUP((Q$1)/10,0)*10,[1]Hugst!$R$4:$W$4,0))))</f>
        <v>0</v>
      </c>
      <c r="R84" s="168">
        <f ca="1">IF($C84-R$1&lt;År1,0,Q83*(1-VLOOKUP($A84,[1]Hugst!$R$5:$W$9,MATCH(ROUNDUP((R$1)/10,0)*10,[1]Hugst!$R$4:$W$4,0))))</f>
        <v>0</v>
      </c>
      <c r="S84" s="168">
        <f ca="1">IF($C84-S$1&lt;År1,0,R83*(1-VLOOKUP($A84,[1]Hugst!$R$5:$W$9,MATCH(ROUNDUP((S$1)/10,0)*10,[1]Hugst!$R$4:$W$4,0))))</f>
        <v>0</v>
      </c>
      <c r="T84" s="168">
        <f ca="1">IF($C84-T$1&lt;År1,0,S83*(1-VLOOKUP($A84,[1]Hugst!$R$5:$W$9,MATCH(ROUNDUP((T$1)/10,0)*10,[1]Hugst!$R$4:$W$4,0))))</f>
        <v>0</v>
      </c>
      <c r="U84" s="168">
        <f ca="1">IF($C84-U$1&lt;År1,0,T83*(1-VLOOKUP($A84,[1]Hugst!$R$5:$W$9,MATCH(ROUNDUP((U$1)/10,0)*10,[1]Hugst!$R$4:$W$4,0))))</f>
        <v>0</v>
      </c>
      <c r="V84" s="168">
        <f ca="1">IF($C84-V$1&lt;År1,0,U83*(1-VLOOKUP($A84,[1]Hugst!$R$5:$W$9,MATCH(ROUNDUP((V$1)/10,0)*10,[1]Hugst!$R$4:$W$4,0))))</f>
        <v>0</v>
      </c>
      <c r="W84" s="168">
        <f ca="1">IF($C84-W$1&lt;År1,0,V83*(1-VLOOKUP($A84,[1]Hugst!$R$5:$W$9,MATCH(ROUNDUP((W$1)/10,0)*10,[1]Hugst!$R$4:$W$4,0))))</f>
        <v>0</v>
      </c>
      <c r="X84" s="168">
        <f ca="1">IF($C84-X$1&lt;År1,0,W83*(1-VLOOKUP($A84,[1]Hugst!$R$5:$W$9,MATCH(ROUNDUP((X$1)/10,0)*10,[1]Hugst!$R$4:$W$4,0))))</f>
        <v>0</v>
      </c>
      <c r="Y84" s="168">
        <f ca="1">IF($C84-Y$1&lt;År1,0,X83*(1-VLOOKUP($A84,[1]Hugst!$R$5:$W$9,MATCH(ROUNDUP((Y$1)/10,0)*10,[1]Hugst!$R$4:$W$4,0))))</f>
        <v>0</v>
      </c>
      <c r="Z84" s="168">
        <f ca="1">IF($C84-Z$1&lt;År1,0,Y83*(1-VLOOKUP($A84,[1]Hugst!$R$5:$W$9,MATCH(ROUNDUP((Z$1)/10,0)*10,[1]Hugst!$R$4:$W$4,0))))</f>
        <v>0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*VLOOKUP(A85,Skovbrug!$A$13:$D$17,IF('Skovbrug-alder'!C85&lt;=År2,3,4),FALSE)-IF(C85&gt;2020,SUM(INDEX($C$1:$D$311,MATCH(1,(2020=$C$1:$C$311)*(B85=$B$1:$B$311)*(A85=$A$1:$A$311),0),2):D84),0))</f>
        <v>0</v>
      </c>
      <c r="E85" s="168">
        <f t="shared" ca="1" si="1"/>
        <v>0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8">
        <f ca="1">IF($C85-G$1&lt;År1,0,F84*(1-VLOOKUP($A85,[1]Hugst!$R$5:$W$9,MATCH(ROUNDUP((G$1)/10,0)*10,[1]Hugst!$R$4:$W$4,0))))</f>
        <v>0</v>
      </c>
      <c r="H85" s="168">
        <f ca="1">IF($C85-H$1&lt;År1,0,G84*(1-VLOOKUP($A85,[1]Hugst!$R$5:$W$9,MATCH(ROUNDUP((H$1)/10,0)*10,[1]Hugst!$R$4:$W$4,0))))</f>
        <v>0</v>
      </c>
      <c r="I85" s="168">
        <f ca="1">IF($C85-I$1&lt;År1,0,H84*(1-VLOOKUP($A85,[1]Hugst!$R$5:$W$9,MATCH(ROUNDUP((I$1)/10,0)*10,[1]Hugst!$R$4:$W$4,0))))</f>
        <v>0</v>
      </c>
      <c r="J85" s="168">
        <f ca="1">IF($C85-J$1&lt;År1,0,I84*(1-VLOOKUP($A85,[1]Hugst!$R$5:$W$9,MATCH(ROUNDUP((J$1)/10,0)*10,[1]Hugst!$R$4:$W$4,0))))</f>
        <v>0</v>
      </c>
      <c r="K85" s="168">
        <f ca="1">IF($C85-K$1&lt;År1,0,J84*(1-VLOOKUP($A85,[1]Hugst!$R$5:$W$9,MATCH(ROUNDUP((K$1)/10,0)*10,[1]Hugst!$R$4:$W$4,0))))</f>
        <v>0</v>
      </c>
      <c r="L85" s="168">
        <f ca="1">IF($C85-L$1&lt;År1,0,K84*(1-VLOOKUP($A85,[1]Hugst!$R$5:$W$9,MATCH(ROUNDUP((L$1)/10,0)*10,[1]Hugst!$R$4:$W$4,0))))</f>
        <v>0</v>
      </c>
      <c r="M85" s="168">
        <f ca="1">IF($C85-M$1&lt;År1,0,L84*(1-VLOOKUP($A85,[1]Hugst!$R$5:$W$9,MATCH(ROUNDUP((M$1)/10,0)*10,[1]Hugst!$R$4:$W$4,0))))</f>
        <v>0</v>
      </c>
      <c r="N85" s="168">
        <f ca="1">IF($C85-N$1&lt;År1,0,M84*(1-VLOOKUP($A85,[1]Hugst!$R$5:$W$9,MATCH(ROUNDUP((N$1)/10,0)*10,[1]Hugst!$R$4:$W$4,0))))</f>
        <v>0</v>
      </c>
      <c r="O85" s="168">
        <f ca="1">IF($C85-O$1&lt;År1,0,N84*(1-VLOOKUP($A85,[1]Hugst!$R$5:$W$9,MATCH(ROUNDUP((O$1)/10,0)*10,[1]Hugst!$R$4:$W$4,0))))</f>
        <v>0</v>
      </c>
      <c r="P85" s="168">
        <f ca="1">IF($C85-P$1&lt;År1,0,O84*(1-VLOOKUP($A85,[1]Hugst!$R$5:$W$9,MATCH(ROUNDUP((P$1)/10,0)*10,[1]Hugst!$R$4:$W$4,0))))</f>
        <v>0</v>
      </c>
      <c r="Q85" s="168">
        <f ca="1">IF($C85-Q$1&lt;År1,0,P84*(1-VLOOKUP($A85,[1]Hugst!$R$5:$W$9,MATCH(ROUNDUP((Q$1)/10,0)*10,[1]Hugst!$R$4:$W$4,0))))</f>
        <v>0</v>
      </c>
      <c r="R85" s="168">
        <f ca="1">IF($C85-R$1&lt;År1,0,Q84*(1-VLOOKUP($A85,[1]Hugst!$R$5:$W$9,MATCH(ROUNDUP((R$1)/10,0)*10,[1]Hugst!$R$4:$W$4,0))))</f>
        <v>0</v>
      </c>
      <c r="S85" s="168">
        <f ca="1">IF($C85-S$1&lt;År1,0,R84*(1-VLOOKUP($A85,[1]Hugst!$R$5:$W$9,MATCH(ROUNDUP((S$1)/10,0)*10,[1]Hugst!$R$4:$W$4,0))))</f>
        <v>0</v>
      </c>
      <c r="T85" s="168">
        <f ca="1">IF($C85-T$1&lt;År1,0,S84*(1-VLOOKUP($A85,[1]Hugst!$R$5:$W$9,MATCH(ROUNDUP((T$1)/10,0)*10,[1]Hugst!$R$4:$W$4,0))))</f>
        <v>0</v>
      </c>
      <c r="U85" s="168">
        <f ca="1">IF($C85-U$1&lt;År1,0,T84*(1-VLOOKUP($A85,[1]Hugst!$R$5:$W$9,MATCH(ROUNDUP((U$1)/10,0)*10,[1]Hugst!$R$4:$W$4,0))))</f>
        <v>0</v>
      </c>
      <c r="V85" s="168">
        <f ca="1">IF($C85-V$1&lt;År1,0,U84*(1-VLOOKUP($A85,[1]Hugst!$R$5:$W$9,MATCH(ROUNDUP((V$1)/10,0)*10,[1]Hugst!$R$4:$W$4,0))))</f>
        <v>0</v>
      </c>
      <c r="W85" s="168">
        <f ca="1">IF($C85-W$1&lt;År1,0,V84*(1-VLOOKUP($A85,[1]Hugst!$R$5:$W$9,MATCH(ROUNDUP((W$1)/10,0)*10,[1]Hugst!$R$4:$W$4,0))))</f>
        <v>0</v>
      </c>
      <c r="X85" s="168">
        <f ca="1">IF($C85-X$1&lt;År1,0,W84*(1-VLOOKUP($A85,[1]Hugst!$R$5:$W$9,MATCH(ROUNDUP((X$1)/10,0)*10,[1]Hugst!$R$4:$W$4,0))))</f>
        <v>0</v>
      </c>
      <c r="Y85" s="168">
        <f ca="1">IF($C85-Y$1&lt;År1,0,X84*(1-VLOOKUP($A85,[1]Hugst!$R$5:$W$9,MATCH(ROUNDUP((Y$1)/10,0)*10,[1]Hugst!$R$4:$W$4,0))))</f>
        <v>0</v>
      </c>
      <c r="Z85" s="168">
        <f ca="1">IF($C85-Z$1&lt;År1,0,Y84*(1-VLOOKUP($A85,[1]Hugst!$R$5:$W$9,MATCH(ROUNDUP((Z$1)/10,0)*10,[1]Hugst!$R$4:$W$4,0))))</f>
        <v>0</v>
      </c>
      <c r="AA85" s="168">
        <f ca="1">IF($C85-AA$1&lt;År1,0,Z84*(1-VLOOKUP($A85,[1]Hugst!$R$5:$W$9,MATCH(ROUNDUP((AA$1)/10,0)*10,[1]Hugst!$R$4:$W$4,0))))</f>
        <v>0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*VLOOKUP(A86,Skovbrug!$A$13:$D$17,IF('Skovbrug-alder'!C86&lt;=År2,3,4),FALSE)-IF(C86&gt;2020,SUM(INDEX($C$1:$D$311,MATCH(1,(2020=$C$1:$C$311)*(B86=$B$1:$B$311)*(A86=$A$1:$A$311),0),2):D85),0))</f>
        <v>0</v>
      </c>
      <c r="E86" s="168">
        <f t="shared" ca="1" si="1"/>
        <v>0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8">
        <f ca="1">IF($C86-G$1&lt;År1,0,F85*(1-VLOOKUP($A86,[1]Hugst!$R$5:$W$9,MATCH(ROUNDUP((G$1)/10,0)*10,[1]Hugst!$R$4:$W$4,0))))</f>
        <v>0</v>
      </c>
      <c r="H86" s="168">
        <f ca="1">IF($C86-H$1&lt;År1,0,G85*(1-VLOOKUP($A86,[1]Hugst!$R$5:$W$9,MATCH(ROUNDUP((H$1)/10,0)*10,[1]Hugst!$R$4:$W$4,0))))</f>
        <v>0</v>
      </c>
      <c r="I86" s="168">
        <f ca="1">IF($C86-I$1&lt;År1,0,H85*(1-VLOOKUP($A86,[1]Hugst!$R$5:$W$9,MATCH(ROUNDUP((I$1)/10,0)*10,[1]Hugst!$R$4:$W$4,0))))</f>
        <v>0</v>
      </c>
      <c r="J86" s="168">
        <f ca="1">IF($C86-J$1&lt;År1,0,I85*(1-VLOOKUP($A86,[1]Hugst!$R$5:$W$9,MATCH(ROUNDUP((J$1)/10,0)*10,[1]Hugst!$R$4:$W$4,0))))</f>
        <v>0</v>
      </c>
      <c r="K86" s="168">
        <f ca="1">IF($C86-K$1&lt;År1,0,J85*(1-VLOOKUP($A86,[1]Hugst!$R$5:$W$9,MATCH(ROUNDUP((K$1)/10,0)*10,[1]Hugst!$R$4:$W$4,0))))</f>
        <v>0</v>
      </c>
      <c r="L86" s="168">
        <f ca="1">IF($C86-L$1&lt;År1,0,K85*(1-VLOOKUP($A86,[1]Hugst!$R$5:$W$9,MATCH(ROUNDUP((L$1)/10,0)*10,[1]Hugst!$R$4:$W$4,0))))</f>
        <v>0</v>
      </c>
      <c r="M86" s="168">
        <f ca="1">IF($C86-M$1&lt;År1,0,L85*(1-VLOOKUP($A86,[1]Hugst!$R$5:$W$9,MATCH(ROUNDUP((M$1)/10,0)*10,[1]Hugst!$R$4:$W$4,0))))</f>
        <v>0</v>
      </c>
      <c r="N86" s="168">
        <f ca="1">IF($C86-N$1&lt;År1,0,M85*(1-VLOOKUP($A86,[1]Hugst!$R$5:$W$9,MATCH(ROUNDUP((N$1)/10,0)*10,[1]Hugst!$R$4:$W$4,0))))</f>
        <v>0</v>
      </c>
      <c r="O86" s="168">
        <f ca="1">IF($C86-O$1&lt;År1,0,N85*(1-VLOOKUP($A86,[1]Hugst!$R$5:$W$9,MATCH(ROUNDUP((O$1)/10,0)*10,[1]Hugst!$R$4:$W$4,0))))</f>
        <v>0</v>
      </c>
      <c r="P86" s="168">
        <f ca="1">IF($C86-P$1&lt;År1,0,O85*(1-VLOOKUP($A86,[1]Hugst!$R$5:$W$9,MATCH(ROUNDUP((P$1)/10,0)*10,[1]Hugst!$R$4:$W$4,0))))</f>
        <v>0</v>
      </c>
      <c r="Q86" s="168">
        <f ca="1">IF($C86-Q$1&lt;År1,0,P85*(1-VLOOKUP($A86,[1]Hugst!$R$5:$W$9,MATCH(ROUNDUP((Q$1)/10,0)*10,[1]Hugst!$R$4:$W$4,0))))</f>
        <v>0</v>
      </c>
      <c r="R86" s="168">
        <f ca="1">IF($C86-R$1&lt;År1,0,Q85*(1-VLOOKUP($A86,[1]Hugst!$R$5:$W$9,MATCH(ROUNDUP((R$1)/10,0)*10,[1]Hugst!$R$4:$W$4,0))))</f>
        <v>0</v>
      </c>
      <c r="S86" s="168">
        <f ca="1">IF($C86-S$1&lt;År1,0,R85*(1-VLOOKUP($A86,[1]Hugst!$R$5:$W$9,MATCH(ROUNDUP((S$1)/10,0)*10,[1]Hugst!$R$4:$W$4,0))))</f>
        <v>0</v>
      </c>
      <c r="T86" s="168">
        <f ca="1">IF($C86-T$1&lt;År1,0,S85*(1-VLOOKUP($A86,[1]Hugst!$R$5:$W$9,MATCH(ROUNDUP((T$1)/10,0)*10,[1]Hugst!$R$4:$W$4,0))))</f>
        <v>0</v>
      </c>
      <c r="U86" s="168">
        <f ca="1">IF($C86-U$1&lt;År1,0,T85*(1-VLOOKUP($A86,[1]Hugst!$R$5:$W$9,MATCH(ROUNDUP((U$1)/10,0)*10,[1]Hugst!$R$4:$W$4,0))))</f>
        <v>0</v>
      </c>
      <c r="V86" s="168">
        <f ca="1">IF($C86-V$1&lt;År1,0,U85*(1-VLOOKUP($A86,[1]Hugst!$R$5:$W$9,MATCH(ROUNDUP((V$1)/10,0)*10,[1]Hugst!$R$4:$W$4,0))))</f>
        <v>0</v>
      </c>
      <c r="W86" s="168">
        <f ca="1">IF($C86-W$1&lt;År1,0,V85*(1-VLOOKUP($A86,[1]Hugst!$R$5:$W$9,MATCH(ROUNDUP((W$1)/10,0)*10,[1]Hugst!$R$4:$W$4,0))))</f>
        <v>0</v>
      </c>
      <c r="X86" s="168">
        <f ca="1">IF($C86-X$1&lt;År1,0,W85*(1-VLOOKUP($A86,[1]Hugst!$R$5:$W$9,MATCH(ROUNDUP((X$1)/10,0)*10,[1]Hugst!$R$4:$W$4,0))))</f>
        <v>0</v>
      </c>
      <c r="Y86" s="168">
        <f ca="1">IF($C86-Y$1&lt;År1,0,X85*(1-VLOOKUP($A86,[1]Hugst!$R$5:$W$9,MATCH(ROUNDUP((Y$1)/10,0)*10,[1]Hugst!$R$4:$W$4,0))))</f>
        <v>0</v>
      </c>
      <c r="Z86" s="168">
        <f ca="1">IF($C86-Z$1&lt;År1,0,Y85*(1-VLOOKUP($A86,[1]Hugst!$R$5:$W$9,MATCH(ROUNDUP((Z$1)/10,0)*10,[1]Hugst!$R$4:$W$4,0))))</f>
        <v>0</v>
      </c>
      <c r="AA86" s="168">
        <f ca="1">IF($C86-AA$1&lt;År1,0,Z85*(1-VLOOKUP($A86,[1]Hugst!$R$5:$W$9,MATCH(ROUNDUP((AA$1)/10,0)*10,[1]Hugst!$R$4:$W$4,0))))</f>
        <v>0</v>
      </c>
      <c r="AB86" s="168">
        <f ca="1">IF($C86-AB$1&lt;År1,0,AA85*(1-VLOOKUP($A86,[1]Hugst!$R$5:$W$9,MATCH(ROUNDUP((AB$1)/10,0)*10,[1]Hugst!$R$4:$W$4,0))))</f>
        <v>0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*VLOOKUP(A87,Skovbrug!$A$13:$D$17,IF('Skovbrug-alder'!C87&lt;=År2,3,4),FALSE)-IF(C87&gt;2020,SUM(INDEX($C$1:$D$311,MATCH(1,(2020=$C$1:$C$311)*(B87=$B$1:$B$311)*(A87=$A$1:$A$311),0),2):D86),0))</f>
        <v>0</v>
      </c>
      <c r="E87" s="168">
        <f t="shared" ca="1" si="1"/>
        <v>0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8">
        <f ca="1">IF($C87-G$1&lt;År1,0,F86*(1-VLOOKUP($A87,[1]Hugst!$R$5:$W$9,MATCH(ROUNDUP((G$1)/10,0)*10,[1]Hugst!$R$4:$W$4,0))))</f>
        <v>0</v>
      </c>
      <c r="H87" s="168">
        <f ca="1">IF($C87-H$1&lt;År1,0,G86*(1-VLOOKUP($A87,[1]Hugst!$R$5:$W$9,MATCH(ROUNDUP((H$1)/10,0)*10,[1]Hugst!$R$4:$W$4,0))))</f>
        <v>0</v>
      </c>
      <c r="I87" s="168">
        <f ca="1">IF($C87-I$1&lt;År1,0,H86*(1-VLOOKUP($A87,[1]Hugst!$R$5:$W$9,MATCH(ROUNDUP((I$1)/10,0)*10,[1]Hugst!$R$4:$W$4,0))))</f>
        <v>0</v>
      </c>
      <c r="J87" s="168">
        <f ca="1">IF($C87-J$1&lt;År1,0,I86*(1-VLOOKUP($A87,[1]Hugst!$R$5:$W$9,MATCH(ROUNDUP((J$1)/10,0)*10,[1]Hugst!$R$4:$W$4,0))))</f>
        <v>0</v>
      </c>
      <c r="K87" s="168">
        <f ca="1">IF($C87-K$1&lt;År1,0,J86*(1-VLOOKUP($A87,[1]Hugst!$R$5:$W$9,MATCH(ROUNDUP((K$1)/10,0)*10,[1]Hugst!$R$4:$W$4,0))))</f>
        <v>0</v>
      </c>
      <c r="L87" s="168">
        <f ca="1">IF($C87-L$1&lt;År1,0,K86*(1-VLOOKUP($A87,[1]Hugst!$R$5:$W$9,MATCH(ROUNDUP((L$1)/10,0)*10,[1]Hugst!$R$4:$W$4,0))))</f>
        <v>0</v>
      </c>
      <c r="M87" s="168">
        <f ca="1">IF($C87-M$1&lt;År1,0,L86*(1-VLOOKUP($A87,[1]Hugst!$R$5:$W$9,MATCH(ROUNDUP((M$1)/10,0)*10,[1]Hugst!$R$4:$W$4,0))))</f>
        <v>0</v>
      </c>
      <c r="N87" s="168">
        <f ca="1">IF($C87-N$1&lt;År1,0,M86*(1-VLOOKUP($A87,[1]Hugst!$R$5:$W$9,MATCH(ROUNDUP((N$1)/10,0)*10,[1]Hugst!$R$4:$W$4,0))))</f>
        <v>0</v>
      </c>
      <c r="O87" s="168">
        <f ca="1">IF($C87-O$1&lt;År1,0,N86*(1-VLOOKUP($A87,[1]Hugst!$R$5:$W$9,MATCH(ROUNDUP((O$1)/10,0)*10,[1]Hugst!$R$4:$W$4,0))))</f>
        <v>0</v>
      </c>
      <c r="P87" s="168">
        <f ca="1">IF($C87-P$1&lt;År1,0,O86*(1-VLOOKUP($A87,[1]Hugst!$R$5:$W$9,MATCH(ROUNDUP((P$1)/10,0)*10,[1]Hugst!$R$4:$W$4,0))))</f>
        <v>0</v>
      </c>
      <c r="Q87" s="168">
        <f ca="1">IF($C87-Q$1&lt;År1,0,P86*(1-VLOOKUP($A87,[1]Hugst!$R$5:$W$9,MATCH(ROUNDUP((Q$1)/10,0)*10,[1]Hugst!$R$4:$W$4,0))))</f>
        <v>0</v>
      </c>
      <c r="R87" s="168">
        <f ca="1">IF($C87-R$1&lt;År1,0,Q86*(1-VLOOKUP($A87,[1]Hugst!$R$5:$W$9,MATCH(ROUNDUP((R$1)/10,0)*10,[1]Hugst!$R$4:$W$4,0))))</f>
        <v>0</v>
      </c>
      <c r="S87" s="168">
        <f ca="1">IF($C87-S$1&lt;År1,0,R86*(1-VLOOKUP($A87,[1]Hugst!$R$5:$W$9,MATCH(ROUNDUP((S$1)/10,0)*10,[1]Hugst!$R$4:$W$4,0))))</f>
        <v>0</v>
      </c>
      <c r="T87" s="168">
        <f ca="1">IF($C87-T$1&lt;År1,0,S86*(1-VLOOKUP($A87,[1]Hugst!$R$5:$W$9,MATCH(ROUNDUP((T$1)/10,0)*10,[1]Hugst!$R$4:$W$4,0))))</f>
        <v>0</v>
      </c>
      <c r="U87" s="168">
        <f ca="1">IF($C87-U$1&lt;År1,0,T86*(1-VLOOKUP($A87,[1]Hugst!$R$5:$W$9,MATCH(ROUNDUP((U$1)/10,0)*10,[1]Hugst!$R$4:$W$4,0))))</f>
        <v>0</v>
      </c>
      <c r="V87" s="168">
        <f ca="1">IF($C87-V$1&lt;År1,0,U86*(1-VLOOKUP($A87,[1]Hugst!$R$5:$W$9,MATCH(ROUNDUP((V$1)/10,0)*10,[1]Hugst!$R$4:$W$4,0))))</f>
        <v>0</v>
      </c>
      <c r="W87" s="168">
        <f ca="1">IF($C87-W$1&lt;År1,0,V86*(1-VLOOKUP($A87,[1]Hugst!$R$5:$W$9,MATCH(ROUNDUP((W$1)/10,0)*10,[1]Hugst!$R$4:$W$4,0))))</f>
        <v>0</v>
      </c>
      <c r="X87" s="168">
        <f ca="1">IF($C87-X$1&lt;År1,0,W86*(1-VLOOKUP($A87,[1]Hugst!$R$5:$W$9,MATCH(ROUNDUP((X$1)/10,0)*10,[1]Hugst!$R$4:$W$4,0))))</f>
        <v>0</v>
      </c>
      <c r="Y87" s="168">
        <f ca="1">IF($C87-Y$1&lt;År1,0,X86*(1-VLOOKUP($A87,[1]Hugst!$R$5:$W$9,MATCH(ROUNDUP((Y$1)/10,0)*10,[1]Hugst!$R$4:$W$4,0))))</f>
        <v>0</v>
      </c>
      <c r="Z87" s="168">
        <f ca="1">IF($C87-Z$1&lt;År1,0,Y86*(1-VLOOKUP($A87,[1]Hugst!$R$5:$W$9,MATCH(ROUNDUP((Z$1)/10,0)*10,[1]Hugst!$R$4:$W$4,0))))</f>
        <v>0</v>
      </c>
      <c r="AA87" s="168">
        <f ca="1">IF($C87-AA$1&lt;År1,0,Z86*(1-VLOOKUP($A87,[1]Hugst!$R$5:$W$9,MATCH(ROUNDUP((AA$1)/10,0)*10,[1]Hugst!$R$4:$W$4,0))))</f>
        <v>0</v>
      </c>
      <c r="AB87" s="168">
        <f ca="1">IF($C87-AB$1&lt;År1,0,AA86*(1-VLOOKUP($A87,[1]Hugst!$R$5:$W$9,MATCH(ROUNDUP((AB$1)/10,0)*10,[1]Hugst!$R$4:$W$4,0))))</f>
        <v>0</v>
      </c>
      <c r="AC87" s="168">
        <f ca="1">IF($C87-AC$1&lt;År1,0,AB86*(1-VLOOKUP($A87,[1]Hugst!$R$5:$W$9,MATCH(ROUNDUP((AC$1)/10,0)*10,[1]Hugst!$R$4:$W$4,0))))</f>
        <v>0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*VLOOKUP(A88,Skovbrug!$A$13:$D$17,IF('Skovbrug-alder'!C88&lt;=År2,3,4),FALSE)-IF(C88&gt;2020,SUM(INDEX($C$1:$D$311,MATCH(1,(2020=$C$1:$C$311)*(B88=$B$1:$B$311)*(A88=$A$1:$A$311),0),2):D87),0))</f>
        <v>0</v>
      </c>
      <c r="E88" s="168">
        <f t="shared" ca="1" si="1"/>
        <v>0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8">
        <f ca="1">IF($C88-G$1&lt;År1,0,F87*(1-VLOOKUP($A88,[1]Hugst!$R$5:$W$9,MATCH(ROUNDUP((G$1)/10,0)*10,[1]Hugst!$R$4:$W$4,0))))</f>
        <v>0</v>
      </c>
      <c r="H88" s="168">
        <f ca="1">IF($C88-H$1&lt;År1,0,G87*(1-VLOOKUP($A88,[1]Hugst!$R$5:$W$9,MATCH(ROUNDUP((H$1)/10,0)*10,[1]Hugst!$R$4:$W$4,0))))</f>
        <v>0</v>
      </c>
      <c r="I88" s="168">
        <f ca="1">IF($C88-I$1&lt;År1,0,H87*(1-VLOOKUP($A88,[1]Hugst!$R$5:$W$9,MATCH(ROUNDUP((I$1)/10,0)*10,[1]Hugst!$R$4:$W$4,0))))</f>
        <v>0</v>
      </c>
      <c r="J88" s="168">
        <f ca="1">IF($C88-J$1&lt;År1,0,I87*(1-VLOOKUP($A88,[1]Hugst!$R$5:$W$9,MATCH(ROUNDUP((J$1)/10,0)*10,[1]Hugst!$R$4:$W$4,0))))</f>
        <v>0</v>
      </c>
      <c r="K88" s="168">
        <f ca="1">IF($C88-K$1&lt;År1,0,J87*(1-VLOOKUP($A88,[1]Hugst!$R$5:$W$9,MATCH(ROUNDUP((K$1)/10,0)*10,[1]Hugst!$R$4:$W$4,0))))</f>
        <v>0</v>
      </c>
      <c r="L88" s="168">
        <f ca="1">IF($C88-L$1&lt;År1,0,K87*(1-VLOOKUP($A88,[1]Hugst!$R$5:$W$9,MATCH(ROUNDUP((L$1)/10,0)*10,[1]Hugst!$R$4:$W$4,0))))</f>
        <v>0</v>
      </c>
      <c r="M88" s="168">
        <f ca="1">IF($C88-M$1&lt;År1,0,L87*(1-VLOOKUP($A88,[1]Hugst!$R$5:$W$9,MATCH(ROUNDUP((M$1)/10,0)*10,[1]Hugst!$R$4:$W$4,0))))</f>
        <v>0</v>
      </c>
      <c r="N88" s="168">
        <f ca="1">IF($C88-N$1&lt;År1,0,M87*(1-VLOOKUP($A88,[1]Hugst!$R$5:$W$9,MATCH(ROUNDUP((N$1)/10,0)*10,[1]Hugst!$R$4:$W$4,0))))</f>
        <v>0</v>
      </c>
      <c r="O88" s="168">
        <f ca="1">IF($C88-O$1&lt;År1,0,N87*(1-VLOOKUP($A88,[1]Hugst!$R$5:$W$9,MATCH(ROUNDUP((O$1)/10,0)*10,[1]Hugst!$R$4:$W$4,0))))</f>
        <v>0</v>
      </c>
      <c r="P88" s="168">
        <f ca="1">IF($C88-P$1&lt;År1,0,O87*(1-VLOOKUP($A88,[1]Hugst!$R$5:$W$9,MATCH(ROUNDUP((P$1)/10,0)*10,[1]Hugst!$R$4:$W$4,0))))</f>
        <v>0</v>
      </c>
      <c r="Q88" s="168">
        <f ca="1">IF($C88-Q$1&lt;År1,0,P87*(1-VLOOKUP($A88,[1]Hugst!$R$5:$W$9,MATCH(ROUNDUP((Q$1)/10,0)*10,[1]Hugst!$R$4:$W$4,0))))</f>
        <v>0</v>
      </c>
      <c r="R88" s="168">
        <f ca="1">IF($C88-R$1&lt;År1,0,Q87*(1-VLOOKUP($A88,[1]Hugst!$R$5:$W$9,MATCH(ROUNDUP((R$1)/10,0)*10,[1]Hugst!$R$4:$W$4,0))))</f>
        <v>0</v>
      </c>
      <c r="S88" s="168">
        <f ca="1">IF($C88-S$1&lt;År1,0,R87*(1-VLOOKUP($A88,[1]Hugst!$R$5:$W$9,MATCH(ROUNDUP((S$1)/10,0)*10,[1]Hugst!$R$4:$W$4,0))))</f>
        <v>0</v>
      </c>
      <c r="T88" s="168">
        <f ca="1">IF($C88-T$1&lt;År1,0,S87*(1-VLOOKUP($A88,[1]Hugst!$R$5:$W$9,MATCH(ROUNDUP((T$1)/10,0)*10,[1]Hugst!$R$4:$W$4,0))))</f>
        <v>0</v>
      </c>
      <c r="U88" s="168">
        <f ca="1">IF($C88-U$1&lt;År1,0,T87*(1-VLOOKUP($A88,[1]Hugst!$R$5:$W$9,MATCH(ROUNDUP((U$1)/10,0)*10,[1]Hugst!$R$4:$W$4,0))))</f>
        <v>0</v>
      </c>
      <c r="V88" s="168">
        <f ca="1">IF($C88-V$1&lt;År1,0,U87*(1-VLOOKUP($A88,[1]Hugst!$R$5:$W$9,MATCH(ROUNDUP((V$1)/10,0)*10,[1]Hugst!$R$4:$W$4,0))))</f>
        <v>0</v>
      </c>
      <c r="W88" s="168">
        <f ca="1">IF($C88-W$1&lt;År1,0,V87*(1-VLOOKUP($A88,[1]Hugst!$R$5:$W$9,MATCH(ROUNDUP((W$1)/10,0)*10,[1]Hugst!$R$4:$W$4,0))))</f>
        <v>0</v>
      </c>
      <c r="X88" s="168">
        <f ca="1">IF($C88-X$1&lt;År1,0,W87*(1-VLOOKUP($A88,[1]Hugst!$R$5:$W$9,MATCH(ROUNDUP((X$1)/10,0)*10,[1]Hugst!$R$4:$W$4,0))))</f>
        <v>0</v>
      </c>
      <c r="Y88" s="168">
        <f ca="1">IF($C88-Y$1&lt;År1,0,X87*(1-VLOOKUP($A88,[1]Hugst!$R$5:$W$9,MATCH(ROUNDUP((Y$1)/10,0)*10,[1]Hugst!$R$4:$W$4,0))))</f>
        <v>0</v>
      </c>
      <c r="Z88" s="168">
        <f ca="1">IF($C88-Z$1&lt;År1,0,Y87*(1-VLOOKUP($A88,[1]Hugst!$R$5:$W$9,MATCH(ROUNDUP((Z$1)/10,0)*10,[1]Hugst!$R$4:$W$4,0))))</f>
        <v>0</v>
      </c>
      <c r="AA88" s="168">
        <f ca="1">IF($C88-AA$1&lt;År1,0,Z87*(1-VLOOKUP($A88,[1]Hugst!$R$5:$W$9,MATCH(ROUNDUP((AA$1)/10,0)*10,[1]Hugst!$R$4:$W$4,0))))</f>
        <v>0</v>
      </c>
      <c r="AB88" s="168">
        <f ca="1">IF($C88-AB$1&lt;År1,0,AA87*(1-VLOOKUP($A88,[1]Hugst!$R$5:$W$9,MATCH(ROUNDUP((AB$1)/10,0)*10,[1]Hugst!$R$4:$W$4,0))))</f>
        <v>0</v>
      </c>
      <c r="AC88" s="168">
        <f ca="1">IF($C88-AC$1&lt;År1,0,AB87*(1-VLOOKUP($A88,[1]Hugst!$R$5:$W$9,MATCH(ROUNDUP((AC$1)/10,0)*10,[1]Hugst!$R$4:$W$4,0))))</f>
        <v>0</v>
      </c>
      <c r="AD88" s="168">
        <f ca="1">IF($C88-AD$1&lt;År1,0,AC87*(1-VLOOKUP($A88,[1]Hugst!$R$5:$W$9,MATCH(ROUNDUP((AD$1)/10,0)*10,[1]Hugst!$R$4:$W$4,0))))</f>
        <v>0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*VLOOKUP(A89,Skovbrug!$A$13:$D$17,IF('Skovbrug-alder'!C89&lt;=År2,3,4),FALSE)-IF(C89&gt;2020,SUM(INDEX($C$1:$D$311,MATCH(1,(2020=$C$1:$C$311)*(B89=$B$1:$B$311)*(A89=$A$1:$A$311),0),2):D88),0))</f>
        <v>0</v>
      </c>
      <c r="E89" s="168">
        <f t="shared" ca="1" si="1"/>
        <v>0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8">
        <f ca="1">IF($C89-G$1&lt;År1,0,F88*(1-VLOOKUP($A89,[1]Hugst!$R$5:$W$9,MATCH(ROUNDUP((G$1)/10,0)*10,[1]Hugst!$R$4:$W$4,0))))</f>
        <v>0</v>
      </c>
      <c r="H89" s="168">
        <f ca="1">IF($C89-H$1&lt;År1,0,G88*(1-VLOOKUP($A89,[1]Hugst!$R$5:$W$9,MATCH(ROUNDUP((H$1)/10,0)*10,[1]Hugst!$R$4:$W$4,0))))</f>
        <v>0</v>
      </c>
      <c r="I89" s="168">
        <f ca="1">IF($C89-I$1&lt;År1,0,H88*(1-VLOOKUP($A89,[1]Hugst!$R$5:$W$9,MATCH(ROUNDUP((I$1)/10,0)*10,[1]Hugst!$R$4:$W$4,0))))</f>
        <v>0</v>
      </c>
      <c r="J89" s="168">
        <f ca="1">IF($C89-J$1&lt;År1,0,I88*(1-VLOOKUP($A89,[1]Hugst!$R$5:$W$9,MATCH(ROUNDUP((J$1)/10,0)*10,[1]Hugst!$R$4:$W$4,0))))</f>
        <v>0</v>
      </c>
      <c r="K89" s="168">
        <f ca="1">IF($C89-K$1&lt;År1,0,J88*(1-VLOOKUP($A89,[1]Hugst!$R$5:$W$9,MATCH(ROUNDUP((K$1)/10,0)*10,[1]Hugst!$R$4:$W$4,0))))</f>
        <v>0</v>
      </c>
      <c r="L89" s="168">
        <f ca="1">IF($C89-L$1&lt;År1,0,K88*(1-VLOOKUP($A89,[1]Hugst!$R$5:$W$9,MATCH(ROUNDUP((L$1)/10,0)*10,[1]Hugst!$R$4:$W$4,0))))</f>
        <v>0</v>
      </c>
      <c r="M89" s="168">
        <f ca="1">IF($C89-M$1&lt;År1,0,L88*(1-VLOOKUP($A89,[1]Hugst!$R$5:$W$9,MATCH(ROUNDUP((M$1)/10,0)*10,[1]Hugst!$R$4:$W$4,0))))</f>
        <v>0</v>
      </c>
      <c r="N89" s="168">
        <f ca="1">IF($C89-N$1&lt;År1,0,M88*(1-VLOOKUP($A89,[1]Hugst!$R$5:$W$9,MATCH(ROUNDUP((N$1)/10,0)*10,[1]Hugst!$R$4:$W$4,0))))</f>
        <v>0</v>
      </c>
      <c r="O89" s="168">
        <f ca="1">IF($C89-O$1&lt;År1,0,N88*(1-VLOOKUP($A89,[1]Hugst!$R$5:$W$9,MATCH(ROUNDUP((O$1)/10,0)*10,[1]Hugst!$R$4:$W$4,0))))</f>
        <v>0</v>
      </c>
      <c r="P89" s="168">
        <f ca="1">IF($C89-P$1&lt;År1,0,O88*(1-VLOOKUP($A89,[1]Hugst!$R$5:$W$9,MATCH(ROUNDUP((P$1)/10,0)*10,[1]Hugst!$R$4:$W$4,0))))</f>
        <v>0</v>
      </c>
      <c r="Q89" s="168">
        <f ca="1">IF($C89-Q$1&lt;År1,0,P88*(1-VLOOKUP($A89,[1]Hugst!$R$5:$W$9,MATCH(ROUNDUP((Q$1)/10,0)*10,[1]Hugst!$R$4:$W$4,0))))</f>
        <v>0</v>
      </c>
      <c r="R89" s="168">
        <f ca="1">IF($C89-R$1&lt;År1,0,Q88*(1-VLOOKUP($A89,[1]Hugst!$R$5:$W$9,MATCH(ROUNDUP((R$1)/10,0)*10,[1]Hugst!$R$4:$W$4,0))))</f>
        <v>0</v>
      </c>
      <c r="S89" s="168">
        <f ca="1">IF($C89-S$1&lt;År1,0,R88*(1-VLOOKUP($A89,[1]Hugst!$R$5:$W$9,MATCH(ROUNDUP((S$1)/10,0)*10,[1]Hugst!$R$4:$W$4,0))))</f>
        <v>0</v>
      </c>
      <c r="T89" s="168">
        <f ca="1">IF($C89-T$1&lt;År1,0,S88*(1-VLOOKUP($A89,[1]Hugst!$R$5:$W$9,MATCH(ROUNDUP((T$1)/10,0)*10,[1]Hugst!$R$4:$W$4,0))))</f>
        <v>0</v>
      </c>
      <c r="U89" s="168">
        <f ca="1">IF($C89-U$1&lt;År1,0,T88*(1-VLOOKUP($A89,[1]Hugst!$R$5:$W$9,MATCH(ROUNDUP((U$1)/10,0)*10,[1]Hugst!$R$4:$W$4,0))))</f>
        <v>0</v>
      </c>
      <c r="V89" s="168">
        <f ca="1">IF($C89-V$1&lt;År1,0,U88*(1-VLOOKUP($A89,[1]Hugst!$R$5:$W$9,MATCH(ROUNDUP((V$1)/10,0)*10,[1]Hugst!$R$4:$W$4,0))))</f>
        <v>0</v>
      </c>
      <c r="W89" s="168">
        <f ca="1">IF($C89-W$1&lt;År1,0,V88*(1-VLOOKUP($A89,[1]Hugst!$R$5:$W$9,MATCH(ROUNDUP((W$1)/10,0)*10,[1]Hugst!$R$4:$W$4,0))))</f>
        <v>0</v>
      </c>
      <c r="X89" s="168">
        <f ca="1">IF($C89-X$1&lt;År1,0,W88*(1-VLOOKUP($A89,[1]Hugst!$R$5:$W$9,MATCH(ROUNDUP((X$1)/10,0)*10,[1]Hugst!$R$4:$W$4,0))))</f>
        <v>0</v>
      </c>
      <c r="Y89" s="168">
        <f ca="1">IF($C89-Y$1&lt;År1,0,X88*(1-VLOOKUP($A89,[1]Hugst!$R$5:$W$9,MATCH(ROUNDUP((Y$1)/10,0)*10,[1]Hugst!$R$4:$W$4,0))))</f>
        <v>0</v>
      </c>
      <c r="Z89" s="168">
        <f ca="1">IF($C89-Z$1&lt;År1,0,Y88*(1-VLOOKUP($A89,[1]Hugst!$R$5:$W$9,MATCH(ROUNDUP((Z$1)/10,0)*10,[1]Hugst!$R$4:$W$4,0))))</f>
        <v>0</v>
      </c>
      <c r="AA89" s="168">
        <f ca="1">IF($C89-AA$1&lt;År1,0,Z88*(1-VLOOKUP($A89,[1]Hugst!$R$5:$W$9,MATCH(ROUNDUP((AA$1)/10,0)*10,[1]Hugst!$R$4:$W$4,0))))</f>
        <v>0</v>
      </c>
      <c r="AB89" s="168">
        <f ca="1">IF($C89-AB$1&lt;År1,0,AA88*(1-VLOOKUP($A89,[1]Hugst!$R$5:$W$9,MATCH(ROUNDUP((AB$1)/10,0)*10,[1]Hugst!$R$4:$W$4,0))))</f>
        <v>0</v>
      </c>
      <c r="AC89" s="168">
        <f ca="1">IF($C89-AC$1&lt;År1,0,AB88*(1-VLOOKUP($A89,[1]Hugst!$R$5:$W$9,MATCH(ROUNDUP((AC$1)/10,0)*10,[1]Hugst!$R$4:$W$4,0))))</f>
        <v>0</v>
      </c>
      <c r="AD89" s="168">
        <f ca="1">IF($C89-AD$1&lt;År1,0,AC88*(1-VLOOKUP($A89,[1]Hugst!$R$5:$W$9,MATCH(ROUNDUP((AD$1)/10,0)*10,[1]Hugst!$R$4:$W$4,0))))</f>
        <v>0</v>
      </c>
      <c r="AE89" s="168">
        <f ca="1">IF($C89-AE$1&lt;År1,0,AD88*(1-VLOOKUP($A89,[1]Hugst!$R$5:$W$9,MATCH(ROUNDUP((AE$1)/10,0)*10,[1]Hugst!$R$4:$W$4,0))))</f>
        <v>0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*VLOOKUP(A90,Skovbrug!$A$13:$D$17,IF('Skovbrug-alder'!C90&lt;=År2,3,4),FALSE)-IF(C90&gt;2020,SUM(INDEX($C$1:$D$311,MATCH(1,(2020=$C$1:$C$311)*(B90=$B$1:$B$311)*(A90=$A$1:$A$311),0),2):D89),0))</f>
        <v>0</v>
      </c>
      <c r="E90" s="168">
        <f t="shared" ca="1" si="1"/>
        <v>0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8">
        <f ca="1">IF($C90-G$1&lt;År1,0,F89*(1-VLOOKUP($A90,[1]Hugst!$R$5:$W$9,MATCH(ROUNDUP((G$1)/10,0)*10,[1]Hugst!$R$4:$W$4,0))))</f>
        <v>0</v>
      </c>
      <c r="H90" s="168">
        <f ca="1">IF($C90-H$1&lt;År1,0,G89*(1-VLOOKUP($A90,[1]Hugst!$R$5:$W$9,MATCH(ROUNDUP((H$1)/10,0)*10,[1]Hugst!$R$4:$W$4,0))))</f>
        <v>0</v>
      </c>
      <c r="I90" s="168">
        <f ca="1">IF($C90-I$1&lt;År1,0,H89*(1-VLOOKUP($A90,[1]Hugst!$R$5:$W$9,MATCH(ROUNDUP((I$1)/10,0)*10,[1]Hugst!$R$4:$W$4,0))))</f>
        <v>0</v>
      </c>
      <c r="J90" s="168">
        <f ca="1">IF($C90-J$1&lt;År1,0,I89*(1-VLOOKUP($A90,[1]Hugst!$R$5:$W$9,MATCH(ROUNDUP((J$1)/10,0)*10,[1]Hugst!$R$4:$W$4,0))))</f>
        <v>0</v>
      </c>
      <c r="K90" s="168">
        <f ca="1">IF($C90-K$1&lt;År1,0,J89*(1-VLOOKUP($A90,[1]Hugst!$R$5:$W$9,MATCH(ROUNDUP((K$1)/10,0)*10,[1]Hugst!$R$4:$W$4,0))))</f>
        <v>0</v>
      </c>
      <c r="L90" s="168">
        <f ca="1">IF($C90-L$1&lt;År1,0,K89*(1-VLOOKUP($A90,[1]Hugst!$R$5:$W$9,MATCH(ROUNDUP((L$1)/10,0)*10,[1]Hugst!$R$4:$W$4,0))))</f>
        <v>0</v>
      </c>
      <c r="M90" s="168">
        <f ca="1">IF($C90-M$1&lt;År1,0,L89*(1-VLOOKUP($A90,[1]Hugst!$R$5:$W$9,MATCH(ROUNDUP((M$1)/10,0)*10,[1]Hugst!$R$4:$W$4,0))))</f>
        <v>0</v>
      </c>
      <c r="N90" s="168">
        <f ca="1">IF($C90-N$1&lt;År1,0,M89*(1-VLOOKUP($A90,[1]Hugst!$R$5:$W$9,MATCH(ROUNDUP((N$1)/10,0)*10,[1]Hugst!$R$4:$W$4,0))))</f>
        <v>0</v>
      </c>
      <c r="O90" s="168">
        <f ca="1">IF($C90-O$1&lt;År1,0,N89*(1-VLOOKUP($A90,[1]Hugst!$R$5:$W$9,MATCH(ROUNDUP((O$1)/10,0)*10,[1]Hugst!$R$4:$W$4,0))))</f>
        <v>0</v>
      </c>
      <c r="P90" s="168">
        <f ca="1">IF($C90-P$1&lt;År1,0,O89*(1-VLOOKUP($A90,[1]Hugst!$R$5:$W$9,MATCH(ROUNDUP((P$1)/10,0)*10,[1]Hugst!$R$4:$W$4,0))))</f>
        <v>0</v>
      </c>
      <c r="Q90" s="168">
        <f ca="1">IF($C90-Q$1&lt;År1,0,P89*(1-VLOOKUP($A90,[1]Hugst!$R$5:$W$9,MATCH(ROUNDUP((Q$1)/10,0)*10,[1]Hugst!$R$4:$W$4,0))))</f>
        <v>0</v>
      </c>
      <c r="R90" s="168">
        <f ca="1">IF($C90-R$1&lt;År1,0,Q89*(1-VLOOKUP($A90,[1]Hugst!$R$5:$W$9,MATCH(ROUNDUP((R$1)/10,0)*10,[1]Hugst!$R$4:$W$4,0))))</f>
        <v>0</v>
      </c>
      <c r="S90" s="168">
        <f ca="1">IF($C90-S$1&lt;År1,0,R89*(1-VLOOKUP($A90,[1]Hugst!$R$5:$W$9,MATCH(ROUNDUP((S$1)/10,0)*10,[1]Hugst!$R$4:$W$4,0))))</f>
        <v>0</v>
      </c>
      <c r="T90" s="168">
        <f ca="1">IF($C90-T$1&lt;År1,0,S89*(1-VLOOKUP($A90,[1]Hugst!$R$5:$W$9,MATCH(ROUNDUP((T$1)/10,0)*10,[1]Hugst!$R$4:$W$4,0))))</f>
        <v>0</v>
      </c>
      <c r="U90" s="168">
        <f ca="1">IF($C90-U$1&lt;År1,0,T89*(1-VLOOKUP($A90,[1]Hugst!$R$5:$W$9,MATCH(ROUNDUP((U$1)/10,0)*10,[1]Hugst!$R$4:$W$4,0))))</f>
        <v>0</v>
      </c>
      <c r="V90" s="168">
        <f ca="1">IF($C90-V$1&lt;År1,0,U89*(1-VLOOKUP($A90,[1]Hugst!$R$5:$W$9,MATCH(ROUNDUP((V$1)/10,0)*10,[1]Hugst!$R$4:$W$4,0))))</f>
        <v>0</v>
      </c>
      <c r="W90" s="168">
        <f ca="1">IF($C90-W$1&lt;År1,0,V89*(1-VLOOKUP($A90,[1]Hugst!$R$5:$W$9,MATCH(ROUNDUP((W$1)/10,0)*10,[1]Hugst!$R$4:$W$4,0))))</f>
        <v>0</v>
      </c>
      <c r="X90" s="168">
        <f ca="1">IF($C90-X$1&lt;År1,0,W89*(1-VLOOKUP($A90,[1]Hugst!$R$5:$W$9,MATCH(ROUNDUP((X$1)/10,0)*10,[1]Hugst!$R$4:$W$4,0))))</f>
        <v>0</v>
      </c>
      <c r="Y90" s="168">
        <f ca="1">IF($C90-Y$1&lt;År1,0,X89*(1-VLOOKUP($A90,[1]Hugst!$R$5:$W$9,MATCH(ROUNDUP((Y$1)/10,0)*10,[1]Hugst!$R$4:$W$4,0))))</f>
        <v>0</v>
      </c>
      <c r="Z90" s="168">
        <f ca="1">IF($C90-Z$1&lt;År1,0,Y89*(1-VLOOKUP($A90,[1]Hugst!$R$5:$W$9,MATCH(ROUNDUP((Z$1)/10,0)*10,[1]Hugst!$R$4:$W$4,0))))</f>
        <v>0</v>
      </c>
      <c r="AA90" s="168">
        <f ca="1">IF($C90-AA$1&lt;År1,0,Z89*(1-VLOOKUP($A90,[1]Hugst!$R$5:$W$9,MATCH(ROUNDUP((AA$1)/10,0)*10,[1]Hugst!$R$4:$W$4,0))))</f>
        <v>0</v>
      </c>
      <c r="AB90" s="168">
        <f ca="1">IF($C90-AB$1&lt;År1,0,AA89*(1-VLOOKUP($A90,[1]Hugst!$R$5:$W$9,MATCH(ROUNDUP((AB$1)/10,0)*10,[1]Hugst!$R$4:$W$4,0))))</f>
        <v>0</v>
      </c>
      <c r="AC90" s="168">
        <f ca="1">IF($C90-AC$1&lt;År1,0,AB89*(1-VLOOKUP($A90,[1]Hugst!$R$5:$W$9,MATCH(ROUNDUP((AC$1)/10,0)*10,[1]Hugst!$R$4:$W$4,0))))</f>
        <v>0</v>
      </c>
      <c r="AD90" s="168">
        <f ca="1">IF($C90-AD$1&lt;År1,0,AC89*(1-VLOOKUP($A90,[1]Hugst!$R$5:$W$9,MATCH(ROUNDUP((AD$1)/10,0)*10,[1]Hugst!$R$4:$W$4,0))))</f>
        <v>0</v>
      </c>
      <c r="AE90" s="168">
        <f ca="1">IF($C90-AE$1&lt;År1,0,AD89*(1-VLOOKUP($A90,[1]Hugst!$R$5:$W$9,MATCH(ROUNDUP((AE$1)/10,0)*10,[1]Hugst!$R$4:$W$4,0))))</f>
        <v>0</v>
      </c>
      <c r="AF90" s="168">
        <f ca="1">IF($C90-AF$1&lt;År1,0,AE89*(1-VLOOKUP($A90,[1]Hugst!$R$5:$W$9,MATCH(ROUNDUP((AF$1)/10,0)*10,[1]Hugst!$R$4:$W$4,0))))</f>
        <v>0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*VLOOKUP(A91,Skovbrug!$A$13:$D$17,IF('Skovbrug-alder'!C91&lt;=År2,3,4),FALSE)-IF(C91&gt;2020,SUM(INDEX($C$1:$D$311,MATCH(1,(2020=$C$1:$C$311)*(B91=$B$1:$B$311)*(A91=$A$1:$A$311),0),2):D90),0))</f>
        <v>0</v>
      </c>
      <c r="E91" s="168">
        <f t="shared" ca="1" si="1"/>
        <v>0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8">
        <f ca="1">IF($C91-G$1&lt;År1,0,F90*(1-VLOOKUP($A91,[1]Hugst!$R$5:$W$9,MATCH(ROUNDUP((G$1)/10,0)*10,[1]Hugst!$R$4:$W$4,0))))</f>
        <v>0</v>
      </c>
      <c r="H91" s="168">
        <f ca="1">IF($C91-H$1&lt;År1,0,G90*(1-VLOOKUP($A91,[1]Hugst!$R$5:$W$9,MATCH(ROUNDUP((H$1)/10,0)*10,[1]Hugst!$R$4:$W$4,0))))</f>
        <v>0</v>
      </c>
      <c r="I91" s="168">
        <f ca="1">IF($C91-I$1&lt;År1,0,H90*(1-VLOOKUP($A91,[1]Hugst!$R$5:$W$9,MATCH(ROUNDUP((I$1)/10,0)*10,[1]Hugst!$R$4:$W$4,0))))</f>
        <v>0</v>
      </c>
      <c r="J91" s="168">
        <f ca="1">IF($C91-J$1&lt;År1,0,I90*(1-VLOOKUP($A91,[1]Hugst!$R$5:$W$9,MATCH(ROUNDUP((J$1)/10,0)*10,[1]Hugst!$R$4:$W$4,0))))</f>
        <v>0</v>
      </c>
      <c r="K91" s="168">
        <f ca="1">IF($C91-K$1&lt;År1,0,J90*(1-VLOOKUP($A91,[1]Hugst!$R$5:$W$9,MATCH(ROUNDUP((K$1)/10,0)*10,[1]Hugst!$R$4:$W$4,0))))</f>
        <v>0</v>
      </c>
      <c r="L91" s="168">
        <f ca="1">IF($C91-L$1&lt;År1,0,K90*(1-VLOOKUP($A91,[1]Hugst!$R$5:$W$9,MATCH(ROUNDUP((L$1)/10,0)*10,[1]Hugst!$R$4:$W$4,0))))</f>
        <v>0</v>
      </c>
      <c r="M91" s="168">
        <f ca="1">IF($C91-M$1&lt;År1,0,L90*(1-VLOOKUP($A91,[1]Hugst!$R$5:$W$9,MATCH(ROUNDUP((M$1)/10,0)*10,[1]Hugst!$R$4:$W$4,0))))</f>
        <v>0</v>
      </c>
      <c r="N91" s="168">
        <f ca="1">IF($C91-N$1&lt;År1,0,M90*(1-VLOOKUP($A91,[1]Hugst!$R$5:$W$9,MATCH(ROUNDUP((N$1)/10,0)*10,[1]Hugst!$R$4:$W$4,0))))</f>
        <v>0</v>
      </c>
      <c r="O91" s="168">
        <f ca="1">IF($C91-O$1&lt;År1,0,N90*(1-VLOOKUP($A91,[1]Hugst!$R$5:$W$9,MATCH(ROUNDUP((O$1)/10,0)*10,[1]Hugst!$R$4:$W$4,0))))</f>
        <v>0</v>
      </c>
      <c r="P91" s="168">
        <f ca="1">IF($C91-P$1&lt;År1,0,O90*(1-VLOOKUP($A91,[1]Hugst!$R$5:$W$9,MATCH(ROUNDUP((P$1)/10,0)*10,[1]Hugst!$R$4:$W$4,0))))</f>
        <v>0</v>
      </c>
      <c r="Q91" s="168">
        <f ca="1">IF($C91-Q$1&lt;År1,0,P90*(1-VLOOKUP($A91,[1]Hugst!$R$5:$W$9,MATCH(ROUNDUP((Q$1)/10,0)*10,[1]Hugst!$R$4:$W$4,0))))</f>
        <v>0</v>
      </c>
      <c r="R91" s="168">
        <f ca="1">IF($C91-R$1&lt;År1,0,Q90*(1-VLOOKUP($A91,[1]Hugst!$R$5:$W$9,MATCH(ROUNDUP((R$1)/10,0)*10,[1]Hugst!$R$4:$W$4,0))))</f>
        <v>0</v>
      </c>
      <c r="S91" s="168">
        <f ca="1">IF($C91-S$1&lt;År1,0,R90*(1-VLOOKUP($A91,[1]Hugst!$R$5:$W$9,MATCH(ROUNDUP((S$1)/10,0)*10,[1]Hugst!$R$4:$W$4,0))))</f>
        <v>0</v>
      </c>
      <c r="T91" s="168">
        <f ca="1">IF($C91-T$1&lt;År1,0,S90*(1-VLOOKUP($A91,[1]Hugst!$R$5:$W$9,MATCH(ROUNDUP((T$1)/10,0)*10,[1]Hugst!$R$4:$W$4,0))))</f>
        <v>0</v>
      </c>
      <c r="U91" s="168">
        <f ca="1">IF($C91-U$1&lt;År1,0,T90*(1-VLOOKUP($A91,[1]Hugst!$R$5:$W$9,MATCH(ROUNDUP((U$1)/10,0)*10,[1]Hugst!$R$4:$W$4,0))))</f>
        <v>0</v>
      </c>
      <c r="V91" s="168">
        <f ca="1">IF($C91-V$1&lt;År1,0,U90*(1-VLOOKUP($A91,[1]Hugst!$R$5:$W$9,MATCH(ROUNDUP((V$1)/10,0)*10,[1]Hugst!$R$4:$W$4,0))))</f>
        <v>0</v>
      </c>
      <c r="W91" s="168">
        <f ca="1">IF($C91-W$1&lt;År1,0,V90*(1-VLOOKUP($A91,[1]Hugst!$R$5:$W$9,MATCH(ROUNDUP((W$1)/10,0)*10,[1]Hugst!$R$4:$W$4,0))))</f>
        <v>0</v>
      </c>
      <c r="X91" s="168">
        <f ca="1">IF($C91-X$1&lt;År1,0,W90*(1-VLOOKUP($A91,[1]Hugst!$R$5:$W$9,MATCH(ROUNDUP((X$1)/10,0)*10,[1]Hugst!$R$4:$W$4,0))))</f>
        <v>0</v>
      </c>
      <c r="Y91" s="168">
        <f ca="1">IF($C91-Y$1&lt;År1,0,X90*(1-VLOOKUP($A91,[1]Hugst!$R$5:$W$9,MATCH(ROUNDUP((Y$1)/10,0)*10,[1]Hugst!$R$4:$W$4,0))))</f>
        <v>0</v>
      </c>
      <c r="Z91" s="168">
        <f ca="1">IF($C91-Z$1&lt;År1,0,Y90*(1-VLOOKUP($A91,[1]Hugst!$R$5:$W$9,MATCH(ROUNDUP((Z$1)/10,0)*10,[1]Hugst!$R$4:$W$4,0))))</f>
        <v>0</v>
      </c>
      <c r="AA91" s="168">
        <f ca="1">IF($C91-AA$1&lt;År1,0,Z90*(1-VLOOKUP($A91,[1]Hugst!$R$5:$W$9,MATCH(ROUNDUP((AA$1)/10,0)*10,[1]Hugst!$R$4:$W$4,0))))</f>
        <v>0</v>
      </c>
      <c r="AB91" s="168">
        <f ca="1">IF($C91-AB$1&lt;År1,0,AA90*(1-VLOOKUP($A91,[1]Hugst!$R$5:$W$9,MATCH(ROUNDUP((AB$1)/10,0)*10,[1]Hugst!$R$4:$W$4,0))))</f>
        <v>0</v>
      </c>
      <c r="AC91" s="168">
        <f ca="1">IF($C91-AC$1&lt;År1,0,AB90*(1-VLOOKUP($A91,[1]Hugst!$R$5:$W$9,MATCH(ROUNDUP((AC$1)/10,0)*10,[1]Hugst!$R$4:$W$4,0))))</f>
        <v>0</v>
      </c>
      <c r="AD91" s="168">
        <f ca="1">IF($C91-AD$1&lt;År1,0,AC90*(1-VLOOKUP($A91,[1]Hugst!$R$5:$W$9,MATCH(ROUNDUP((AD$1)/10,0)*10,[1]Hugst!$R$4:$W$4,0))))</f>
        <v>0</v>
      </c>
      <c r="AE91" s="168">
        <f ca="1">IF($C91-AE$1&lt;År1,0,AD90*(1-VLOOKUP($A91,[1]Hugst!$R$5:$W$9,MATCH(ROUNDUP((AE$1)/10,0)*10,[1]Hugst!$R$4:$W$4,0))))</f>
        <v>0</v>
      </c>
      <c r="AF91" s="168">
        <f ca="1">IF($C91-AF$1&lt;År1,0,AE90*(1-VLOOKUP($A91,[1]Hugst!$R$5:$W$9,MATCH(ROUNDUP((AF$1)/10,0)*10,[1]Hugst!$R$4:$W$4,0))))</f>
        <v>0</v>
      </c>
      <c r="AG91" s="168">
        <f ca="1">IF($C91-AG$1&lt;År1,0,AF90*(1-VLOOKUP($A91,[1]Hugst!$R$5:$W$9,MATCH(ROUNDUP((AG$1)/10,0)*10,[1]Hugst!$R$4:$W$4,0))))</f>
        <v>0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*VLOOKUP(A92,Skovbrug!$A$13:$D$17,IF('Skovbrug-alder'!C92&lt;=År2,3,4),FALSE)-IF(C92&gt;2020,SUM(INDEX($C$1:$D$311,MATCH(1,(2020=$C$1:$C$311)*(B92=$B$1:$B$311)*(A92=$A$1:$A$311),0),2):D91),0))</f>
        <v>0</v>
      </c>
      <c r="E92" s="168">
        <f t="shared" ca="1" si="1"/>
        <v>0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8">
        <f ca="1">IF($C92-G$1&lt;År1,0,F91*(1-VLOOKUP($A92,[1]Hugst!$R$5:$W$9,MATCH(ROUNDUP((G$1)/10,0)*10,[1]Hugst!$R$4:$W$4,0))))</f>
        <v>0</v>
      </c>
      <c r="H92" s="168">
        <f ca="1">IF($C92-H$1&lt;År1,0,G91*(1-VLOOKUP($A92,[1]Hugst!$R$5:$W$9,MATCH(ROUNDUP((H$1)/10,0)*10,[1]Hugst!$R$4:$W$4,0))))</f>
        <v>0</v>
      </c>
      <c r="I92" s="168">
        <f ca="1">IF($C92-I$1&lt;År1,0,H91*(1-VLOOKUP($A92,[1]Hugst!$R$5:$W$9,MATCH(ROUNDUP((I$1)/10,0)*10,[1]Hugst!$R$4:$W$4,0))))</f>
        <v>0</v>
      </c>
      <c r="J92" s="168">
        <f ca="1">IF($C92-J$1&lt;År1,0,I91*(1-VLOOKUP($A92,[1]Hugst!$R$5:$W$9,MATCH(ROUNDUP((J$1)/10,0)*10,[1]Hugst!$R$4:$W$4,0))))</f>
        <v>0</v>
      </c>
      <c r="K92" s="168">
        <f ca="1">IF($C92-K$1&lt;År1,0,J91*(1-VLOOKUP($A92,[1]Hugst!$R$5:$W$9,MATCH(ROUNDUP((K$1)/10,0)*10,[1]Hugst!$R$4:$W$4,0))))</f>
        <v>0</v>
      </c>
      <c r="L92" s="168">
        <f ca="1">IF($C92-L$1&lt;År1,0,K91*(1-VLOOKUP($A92,[1]Hugst!$R$5:$W$9,MATCH(ROUNDUP((L$1)/10,0)*10,[1]Hugst!$R$4:$W$4,0))))</f>
        <v>0</v>
      </c>
      <c r="M92" s="168">
        <f ca="1">IF($C92-M$1&lt;År1,0,L91*(1-VLOOKUP($A92,[1]Hugst!$R$5:$W$9,MATCH(ROUNDUP((M$1)/10,0)*10,[1]Hugst!$R$4:$W$4,0))))</f>
        <v>0</v>
      </c>
      <c r="N92" s="168">
        <f ca="1">IF($C92-N$1&lt;År1,0,M91*(1-VLOOKUP($A92,[1]Hugst!$R$5:$W$9,MATCH(ROUNDUP((N$1)/10,0)*10,[1]Hugst!$R$4:$W$4,0))))</f>
        <v>0</v>
      </c>
      <c r="O92" s="168">
        <f ca="1">IF($C92-O$1&lt;År1,0,N91*(1-VLOOKUP($A92,[1]Hugst!$R$5:$W$9,MATCH(ROUNDUP((O$1)/10,0)*10,[1]Hugst!$R$4:$W$4,0))))</f>
        <v>0</v>
      </c>
      <c r="P92" s="168">
        <f ca="1">IF($C92-P$1&lt;År1,0,O91*(1-VLOOKUP($A92,[1]Hugst!$R$5:$W$9,MATCH(ROUNDUP((P$1)/10,0)*10,[1]Hugst!$R$4:$W$4,0))))</f>
        <v>0</v>
      </c>
      <c r="Q92" s="168">
        <f ca="1">IF($C92-Q$1&lt;År1,0,P91*(1-VLOOKUP($A92,[1]Hugst!$R$5:$W$9,MATCH(ROUNDUP((Q$1)/10,0)*10,[1]Hugst!$R$4:$W$4,0))))</f>
        <v>0</v>
      </c>
      <c r="R92" s="168">
        <f ca="1">IF($C92-R$1&lt;År1,0,Q91*(1-VLOOKUP($A92,[1]Hugst!$R$5:$W$9,MATCH(ROUNDUP((R$1)/10,0)*10,[1]Hugst!$R$4:$W$4,0))))</f>
        <v>0</v>
      </c>
      <c r="S92" s="168">
        <f ca="1">IF($C92-S$1&lt;År1,0,R91*(1-VLOOKUP($A92,[1]Hugst!$R$5:$W$9,MATCH(ROUNDUP((S$1)/10,0)*10,[1]Hugst!$R$4:$W$4,0))))</f>
        <v>0</v>
      </c>
      <c r="T92" s="168">
        <f ca="1">IF($C92-T$1&lt;År1,0,S91*(1-VLOOKUP($A92,[1]Hugst!$R$5:$W$9,MATCH(ROUNDUP((T$1)/10,0)*10,[1]Hugst!$R$4:$W$4,0))))</f>
        <v>0</v>
      </c>
      <c r="U92" s="168">
        <f ca="1">IF($C92-U$1&lt;År1,0,T91*(1-VLOOKUP($A92,[1]Hugst!$R$5:$W$9,MATCH(ROUNDUP((U$1)/10,0)*10,[1]Hugst!$R$4:$W$4,0))))</f>
        <v>0</v>
      </c>
      <c r="V92" s="168">
        <f ca="1">IF($C92-V$1&lt;År1,0,U91*(1-VLOOKUP($A92,[1]Hugst!$R$5:$W$9,MATCH(ROUNDUP((V$1)/10,0)*10,[1]Hugst!$R$4:$W$4,0))))</f>
        <v>0</v>
      </c>
      <c r="W92" s="168">
        <f ca="1">IF($C92-W$1&lt;År1,0,V91*(1-VLOOKUP($A92,[1]Hugst!$R$5:$W$9,MATCH(ROUNDUP((W$1)/10,0)*10,[1]Hugst!$R$4:$W$4,0))))</f>
        <v>0</v>
      </c>
      <c r="X92" s="168">
        <f ca="1">IF($C92-X$1&lt;År1,0,W91*(1-VLOOKUP($A92,[1]Hugst!$R$5:$W$9,MATCH(ROUNDUP((X$1)/10,0)*10,[1]Hugst!$R$4:$W$4,0))))</f>
        <v>0</v>
      </c>
      <c r="Y92" s="168">
        <f ca="1">IF($C92-Y$1&lt;År1,0,X91*(1-VLOOKUP($A92,[1]Hugst!$R$5:$W$9,MATCH(ROUNDUP((Y$1)/10,0)*10,[1]Hugst!$R$4:$W$4,0))))</f>
        <v>0</v>
      </c>
      <c r="Z92" s="168">
        <f ca="1">IF($C92-Z$1&lt;År1,0,Y91*(1-VLOOKUP($A92,[1]Hugst!$R$5:$W$9,MATCH(ROUNDUP((Z$1)/10,0)*10,[1]Hugst!$R$4:$W$4,0))))</f>
        <v>0</v>
      </c>
      <c r="AA92" s="168">
        <f ca="1">IF($C92-AA$1&lt;År1,0,Z91*(1-VLOOKUP($A92,[1]Hugst!$R$5:$W$9,MATCH(ROUNDUP((AA$1)/10,0)*10,[1]Hugst!$R$4:$W$4,0))))</f>
        <v>0</v>
      </c>
      <c r="AB92" s="168">
        <f ca="1">IF($C92-AB$1&lt;År1,0,AA91*(1-VLOOKUP($A92,[1]Hugst!$R$5:$W$9,MATCH(ROUNDUP((AB$1)/10,0)*10,[1]Hugst!$R$4:$W$4,0))))</f>
        <v>0</v>
      </c>
      <c r="AC92" s="168">
        <f ca="1">IF($C92-AC$1&lt;År1,0,AB91*(1-VLOOKUP($A92,[1]Hugst!$R$5:$W$9,MATCH(ROUNDUP((AC$1)/10,0)*10,[1]Hugst!$R$4:$W$4,0))))</f>
        <v>0</v>
      </c>
      <c r="AD92" s="168">
        <f ca="1">IF($C92-AD$1&lt;År1,0,AC91*(1-VLOOKUP($A92,[1]Hugst!$R$5:$W$9,MATCH(ROUNDUP((AD$1)/10,0)*10,[1]Hugst!$R$4:$W$4,0))))</f>
        <v>0</v>
      </c>
      <c r="AE92" s="168">
        <f ca="1">IF($C92-AE$1&lt;År1,0,AD91*(1-VLOOKUP($A92,[1]Hugst!$R$5:$W$9,MATCH(ROUNDUP((AE$1)/10,0)*10,[1]Hugst!$R$4:$W$4,0))))</f>
        <v>0</v>
      </c>
      <c r="AF92" s="168">
        <f ca="1">IF($C92-AF$1&lt;År1,0,AE91*(1-VLOOKUP($A92,[1]Hugst!$R$5:$W$9,MATCH(ROUNDUP((AF$1)/10,0)*10,[1]Hugst!$R$4:$W$4,0))))</f>
        <v>0</v>
      </c>
      <c r="AG92" s="168">
        <f ca="1">IF($C92-AG$1&lt;År1,0,AF91*(1-VLOOKUP($A92,[1]Hugst!$R$5:$W$9,MATCH(ROUNDUP((AG$1)/10,0)*10,[1]Hugst!$R$4:$W$4,0))))</f>
        <v>0</v>
      </c>
      <c r="AH92" s="168">
        <f ca="1">IF($C92-AH$1&lt;År1,0,AG91*(1-VLOOKUP($A92,[1]Hugst!$R$5:$W$9,MATCH(ROUNDUP((AH$1)/10,0)*10,[1]Hugst!$R$4:$W$4,0))))</f>
        <v>0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*VLOOKUP(A93,Skovbrug!$A$13:$D$17,IF('Skovbrug-alder'!C93&lt;=År2,3,4),FALSE)-IF(C93&gt;2020,SUM(INDEX($C$1:$D$311,MATCH(1,(2020=$C$1:$C$311)*(B93=$B$1:$B$311)*(A93=$A$1:$A$311),0),2):D92),0))</f>
        <v>0</v>
      </c>
      <c r="E93" s="168">
        <f t="shared" ca="1" si="1"/>
        <v>0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8">
        <f ca="1">IF($C93-G$1&lt;År1,0,F92*(1-VLOOKUP($A93,[1]Hugst!$R$5:$W$9,MATCH(ROUNDUP((G$1)/10,0)*10,[1]Hugst!$R$4:$W$4,0))))</f>
        <v>0</v>
      </c>
      <c r="H93" s="168">
        <f ca="1">IF($C93-H$1&lt;År1,0,G92*(1-VLOOKUP($A93,[1]Hugst!$R$5:$W$9,MATCH(ROUNDUP((H$1)/10,0)*10,[1]Hugst!$R$4:$W$4,0))))</f>
        <v>0</v>
      </c>
      <c r="I93" s="168">
        <f ca="1">IF($C93-I$1&lt;År1,0,H92*(1-VLOOKUP($A93,[1]Hugst!$R$5:$W$9,MATCH(ROUNDUP((I$1)/10,0)*10,[1]Hugst!$R$4:$W$4,0))))</f>
        <v>0</v>
      </c>
      <c r="J93" s="168">
        <f ca="1">IF($C93-J$1&lt;År1,0,I92*(1-VLOOKUP($A93,[1]Hugst!$R$5:$W$9,MATCH(ROUNDUP((J$1)/10,0)*10,[1]Hugst!$R$4:$W$4,0))))</f>
        <v>0</v>
      </c>
      <c r="K93" s="168">
        <f ca="1">IF($C93-K$1&lt;År1,0,J92*(1-VLOOKUP($A93,[1]Hugst!$R$5:$W$9,MATCH(ROUNDUP((K$1)/10,0)*10,[1]Hugst!$R$4:$W$4,0))))</f>
        <v>0</v>
      </c>
      <c r="L93" s="168">
        <f ca="1">IF($C93-L$1&lt;År1,0,K92*(1-VLOOKUP($A93,[1]Hugst!$R$5:$W$9,MATCH(ROUNDUP((L$1)/10,0)*10,[1]Hugst!$R$4:$W$4,0))))</f>
        <v>0</v>
      </c>
      <c r="M93" s="168">
        <f ca="1">IF($C93-M$1&lt;År1,0,L92*(1-VLOOKUP($A93,[1]Hugst!$R$5:$W$9,MATCH(ROUNDUP((M$1)/10,0)*10,[1]Hugst!$R$4:$W$4,0))))</f>
        <v>0</v>
      </c>
      <c r="N93" s="168">
        <f ca="1">IF($C93-N$1&lt;År1,0,M92*(1-VLOOKUP($A93,[1]Hugst!$R$5:$W$9,MATCH(ROUNDUP((N$1)/10,0)*10,[1]Hugst!$R$4:$W$4,0))))</f>
        <v>0</v>
      </c>
      <c r="O93" s="168">
        <f ca="1">IF($C93-O$1&lt;År1,0,N92*(1-VLOOKUP($A93,[1]Hugst!$R$5:$W$9,MATCH(ROUNDUP((O$1)/10,0)*10,[1]Hugst!$R$4:$W$4,0))))</f>
        <v>0</v>
      </c>
      <c r="P93" s="168">
        <f ca="1">IF($C93-P$1&lt;År1,0,O92*(1-VLOOKUP($A93,[1]Hugst!$R$5:$W$9,MATCH(ROUNDUP((P$1)/10,0)*10,[1]Hugst!$R$4:$W$4,0))))</f>
        <v>0</v>
      </c>
      <c r="Q93" s="168">
        <f ca="1">IF($C93-Q$1&lt;År1,0,P92*(1-VLOOKUP($A93,[1]Hugst!$R$5:$W$9,MATCH(ROUNDUP((Q$1)/10,0)*10,[1]Hugst!$R$4:$W$4,0))))</f>
        <v>0</v>
      </c>
      <c r="R93" s="168">
        <f ca="1">IF($C93-R$1&lt;År1,0,Q92*(1-VLOOKUP($A93,[1]Hugst!$R$5:$W$9,MATCH(ROUNDUP((R$1)/10,0)*10,[1]Hugst!$R$4:$W$4,0))))</f>
        <v>0</v>
      </c>
      <c r="S93" s="168">
        <f ca="1">IF($C93-S$1&lt;År1,0,R92*(1-VLOOKUP($A93,[1]Hugst!$R$5:$W$9,MATCH(ROUNDUP((S$1)/10,0)*10,[1]Hugst!$R$4:$W$4,0))))</f>
        <v>0</v>
      </c>
      <c r="T93" s="168">
        <f ca="1">IF($C93-T$1&lt;År1,0,S92*(1-VLOOKUP($A93,[1]Hugst!$R$5:$W$9,MATCH(ROUNDUP((T$1)/10,0)*10,[1]Hugst!$R$4:$W$4,0))))</f>
        <v>0</v>
      </c>
      <c r="U93" s="168">
        <f ca="1">IF($C93-U$1&lt;År1,0,T92*(1-VLOOKUP($A93,[1]Hugst!$R$5:$W$9,MATCH(ROUNDUP((U$1)/10,0)*10,[1]Hugst!$R$4:$W$4,0))))</f>
        <v>0</v>
      </c>
      <c r="V93" s="168">
        <f ca="1">IF($C93-V$1&lt;År1,0,U92*(1-VLOOKUP($A93,[1]Hugst!$R$5:$W$9,MATCH(ROUNDUP((V$1)/10,0)*10,[1]Hugst!$R$4:$W$4,0))))</f>
        <v>0</v>
      </c>
      <c r="W93" s="168">
        <f ca="1">IF($C93-W$1&lt;År1,0,V92*(1-VLOOKUP($A93,[1]Hugst!$R$5:$W$9,MATCH(ROUNDUP((W$1)/10,0)*10,[1]Hugst!$R$4:$W$4,0))))</f>
        <v>0</v>
      </c>
      <c r="X93" s="168">
        <f ca="1">IF($C93-X$1&lt;År1,0,W92*(1-VLOOKUP($A93,[1]Hugst!$R$5:$W$9,MATCH(ROUNDUP((X$1)/10,0)*10,[1]Hugst!$R$4:$W$4,0))))</f>
        <v>0</v>
      </c>
      <c r="Y93" s="168">
        <f ca="1">IF($C93-Y$1&lt;År1,0,X92*(1-VLOOKUP($A93,[1]Hugst!$R$5:$W$9,MATCH(ROUNDUP((Y$1)/10,0)*10,[1]Hugst!$R$4:$W$4,0))))</f>
        <v>0</v>
      </c>
      <c r="Z93" s="168">
        <f ca="1">IF($C93-Z$1&lt;År1,0,Y92*(1-VLOOKUP($A93,[1]Hugst!$R$5:$W$9,MATCH(ROUNDUP((Z$1)/10,0)*10,[1]Hugst!$R$4:$W$4,0))))</f>
        <v>0</v>
      </c>
      <c r="AA93" s="168">
        <f ca="1">IF($C93-AA$1&lt;År1,0,Z92*(1-VLOOKUP($A93,[1]Hugst!$R$5:$W$9,MATCH(ROUNDUP((AA$1)/10,0)*10,[1]Hugst!$R$4:$W$4,0))))</f>
        <v>0</v>
      </c>
      <c r="AB93" s="168">
        <f ca="1">IF($C93-AB$1&lt;År1,0,AA92*(1-VLOOKUP($A93,[1]Hugst!$R$5:$W$9,MATCH(ROUNDUP((AB$1)/10,0)*10,[1]Hugst!$R$4:$W$4,0))))</f>
        <v>0</v>
      </c>
      <c r="AC93" s="168">
        <f ca="1">IF($C93-AC$1&lt;År1,0,AB92*(1-VLOOKUP($A93,[1]Hugst!$R$5:$W$9,MATCH(ROUNDUP((AC$1)/10,0)*10,[1]Hugst!$R$4:$W$4,0))))</f>
        <v>0</v>
      </c>
      <c r="AD93" s="168">
        <f ca="1">IF($C93-AD$1&lt;År1,0,AC92*(1-VLOOKUP($A93,[1]Hugst!$R$5:$W$9,MATCH(ROUNDUP((AD$1)/10,0)*10,[1]Hugst!$R$4:$W$4,0))))</f>
        <v>0</v>
      </c>
      <c r="AE93" s="168">
        <f ca="1">IF($C93-AE$1&lt;År1,0,AD92*(1-VLOOKUP($A93,[1]Hugst!$R$5:$W$9,MATCH(ROUNDUP((AE$1)/10,0)*10,[1]Hugst!$R$4:$W$4,0))))</f>
        <v>0</v>
      </c>
      <c r="AF93" s="168">
        <f ca="1">IF($C93-AF$1&lt;År1,0,AE92*(1-VLOOKUP($A93,[1]Hugst!$R$5:$W$9,MATCH(ROUNDUP((AF$1)/10,0)*10,[1]Hugst!$R$4:$W$4,0))))</f>
        <v>0</v>
      </c>
      <c r="AG93" s="168">
        <f ca="1">IF($C93-AG$1&lt;År1,0,AF92*(1-VLOOKUP($A93,[1]Hugst!$R$5:$W$9,MATCH(ROUNDUP((AG$1)/10,0)*10,[1]Hugst!$R$4:$W$4,0))))</f>
        <v>0</v>
      </c>
      <c r="AH93" s="168">
        <f ca="1">IF($C93-AH$1&lt;År1,0,AG92*(1-VLOOKUP($A93,[1]Hugst!$R$5:$W$9,MATCH(ROUNDUP((AH$1)/10,0)*10,[1]Hugst!$R$4:$W$4,0))))</f>
        <v>0</v>
      </c>
      <c r="AI93" s="168">
        <f ca="1">IF($C93-AI$1&lt;År1,0,AH92*(1-VLOOKUP($A93,[1]Hugst!$R$5:$W$9,MATCH(ROUNDUP((AI$1)/10,0)*10,[1]Hugst!$R$4:$W$4,0))))</f>
        <v>0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*VLOOKUP(A94,Skovbrug!$A$13:$D$17,IF('Skovbrug-alder'!C94&lt;=År2,3,4),FALSE)-IF(C94&gt;2020,SUM(INDEX($C$1:$D$311,MATCH(1,(2020=$C$1:$C$311)*(B94=$B$1:$B$311)*(A94=$A$1:$A$311),0),2):D93),0))</f>
        <v>0</v>
      </c>
      <c r="E94" s="168">
        <f t="shared" ca="1" si="1"/>
        <v>0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8">
        <f ca="1">IF($C94-G$1&lt;År1,0,F93*(1-VLOOKUP($A94,[1]Hugst!$R$5:$W$9,MATCH(ROUNDUP((G$1)/10,0)*10,[1]Hugst!$R$4:$W$4,0))))</f>
        <v>0</v>
      </c>
      <c r="H94" s="168">
        <f ca="1">IF($C94-H$1&lt;År1,0,G93*(1-VLOOKUP($A94,[1]Hugst!$R$5:$W$9,MATCH(ROUNDUP((H$1)/10,0)*10,[1]Hugst!$R$4:$W$4,0))))</f>
        <v>0</v>
      </c>
      <c r="I94" s="168">
        <f ca="1">IF($C94-I$1&lt;År1,0,H93*(1-VLOOKUP($A94,[1]Hugst!$R$5:$W$9,MATCH(ROUNDUP((I$1)/10,0)*10,[1]Hugst!$R$4:$W$4,0))))</f>
        <v>0</v>
      </c>
      <c r="J94" s="168">
        <f ca="1">IF($C94-J$1&lt;År1,0,I93*(1-VLOOKUP($A94,[1]Hugst!$R$5:$W$9,MATCH(ROUNDUP((J$1)/10,0)*10,[1]Hugst!$R$4:$W$4,0))))</f>
        <v>0</v>
      </c>
      <c r="K94" s="168">
        <f ca="1">IF($C94-K$1&lt;År1,0,J93*(1-VLOOKUP($A94,[1]Hugst!$R$5:$W$9,MATCH(ROUNDUP((K$1)/10,0)*10,[1]Hugst!$R$4:$W$4,0))))</f>
        <v>0</v>
      </c>
      <c r="L94" s="168">
        <f ca="1">IF($C94-L$1&lt;År1,0,K93*(1-VLOOKUP($A94,[1]Hugst!$R$5:$W$9,MATCH(ROUNDUP((L$1)/10,0)*10,[1]Hugst!$R$4:$W$4,0))))</f>
        <v>0</v>
      </c>
      <c r="M94" s="168">
        <f ca="1">IF($C94-M$1&lt;År1,0,L93*(1-VLOOKUP($A94,[1]Hugst!$R$5:$W$9,MATCH(ROUNDUP((M$1)/10,0)*10,[1]Hugst!$R$4:$W$4,0))))</f>
        <v>0</v>
      </c>
      <c r="N94" s="168">
        <f ca="1">IF($C94-N$1&lt;År1,0,M93*(1-VLOOKUP($A94,[1]Hugst!$R$5:$W$9,MATCH(ROUNDUP((N$1)/10,0)*10,[1]Hugst!$R$4:$W$4,0))))</f>
        <v>0</v>
      </c>
      <c r="O94" s="168">
        <f ca="1">IF($C94-O$1&lt;År1,0,N93*(1-VLOOKUP($A94,[1]Hugst!$R$5:$W$9,MATCH(ROUNDUP((O$1)/10,0)*10,[1]Hugst!$R$4:$W$4,0))))</f>
        <v>0</v>
      </c>
      <c r="P94" s="168">
        <f ca="1">IF($C94-P$1&lt;År1,0,O93*(1-VLOOKUP($A94,[1]Hugst!$R$5:$W$9,MATCH(ROUNDUP((P$1)/10,0)*10,[1]Hugst!$R$4:$W$4,0))))</f>
        <v>0</v>
      </c>
      <c r="Q94" s="168">
        <f ca="1">IF($C94-Q$1&lt;År1,0,P93*(1-VLOOKUP($A94,[1]Hugst!$R$5:$W$9,MATCH(ROUNDUP((Q$1)/10,0)*10,[1]Hugst!$R$4:$W$4,0))))</f>
        <v>0</v>
      </c>
      <c r="R94" s="168">
        <f ca="1">IF($C94-R$1&lt;År1,0,Q93*(1-VLOOKUP($A94,[1]Hugst!$R$5:$W$9,MATCH(ROUNDUP((R$1)/10,0)*10,[1]Hugst!$R$4:$W$4,0))))</f>
        <v>0</v>
      </c>
      <c r="S94" s="168">
        <f ca="1">IF($C94-S$1&lt;År1,0,R93*(1-VLOOKUP($A94,[1]Hugst!$R$5:$W$9,MATCH(ROUNDUP((S$1)/10,0)*10,[1]Hugst!$R$4:$W$4,0))))</f>
        <v>0</v>
      </c>
      <c r="T94" s="168">
        <f ca="1">IF($C94-T$1&lt;År1,0,S93*(1-VLOOKUP($A94,[1]Hugst!$R$5:$W$9,MATCH(ROUNDUP((T$1)/10,0)*10,[1]Hugst!$R$4:$W$4,0))))</f>
        <v>0</v>
      </c>
      <c r="U94" s="168">
        <f ca="1">IF($C94-U$1&lt;År1,0,T93*(1-VLOOKUP($A94,[1]Hugst!$R$5:$W$9,MATCH(ROUNDUP((U$1)/10,0)*10,[1]Hugst!$R$4:$W$4,0))))</f>
        <v>0</v>
      </c>
      <c r="V94" s="168">
        <f ca="1">IF($C94-V$1&lt;År1,0,U93*(1-VLOOKUP($A94,[1]Hugst!$R$5:$W$9,MATCH(ROUNDUP((V$1)/10,0)*10,[1]Hugst!$R$4:$W$4,0))))</f>
        <v>0</v>
      </c>
      <c r="W94" s="168">
        <f ca="1">IF($C94-W$1&lt;År1,0,V93*(1-VLOOKUP($A94,[1]Hugst!$R$5:$W$9,MATCH(ROUNDUP((W$1)/10,0)*10,[1]Hugst!$R$4:$W$4,0))))</f>
        <v>0</v>
      </c>
      <c r="X94" s="168">
        <f ca="1">IF($C94-X$1&lt;År1,0,W93*(1-VLOOKUP($A94,[1]Hugst!$R$5:$W$9,MATCH(ROUNDUP((X$1)/10,0)*10,[1]Hugst!$R$4:$W$4,0))))</f>
        <v>0</v>
      </c>
      <c r="Y94" s="168">
        <f ca="1">IF($C94-Y$1&lt;År1,0,X93*(1-VLOOKUP($A94,[1]Hugst!$R$5:$W$9,MATCH(ROUNDUP((Y$1)/10,0)*10,[1]Hugst!$R$4:$W$4,0))))</f>
        <v>0</v>
      </c>
      <c r="Z94" s="168">
        <f ca="1">IF($C94-Z$1&lt;År1,0,Y93*(1-VLOOKUP($A94,[1]Hugst!$R$5:$W$9,MATCH(ROUNDUP((Z$1)/10,0)*10,[1]Hugst!$R$4:$W$4,0))))</f>
        <v>0</v>
      </c>
      <c r="AA94" s="168">
        <f ca="1">IF($C94-AA$1&lt;År1,0,Z93*(1-VLOOKUP($A94,[1]Hugst!$R$5:$W$9,MATCH(ROUNDUP((AA$1)/10,0)*10,[1]Hugst!$R$4:$W$4,0))))</f>
        <v>0</v>
      </c>
      <c r="AB94" s="168">
        <f ca="1">IF($C94-AB$1&lt;År1,0,AA93*(1-VLOOKUP($A94,[1]Hugst!$R$5:$W$9,MATCH(ROUNDUP((AB$1)/10,0)*10,[1]Hugst!$R$4:$W$4,0))))</f>
        <v>0</v>
      </c>
      <c r="AC94" s="168">
        <f ca="1">IF($C94-AC$1&lt;År1,0,AB93*(1-VLOOKUP($A94,[1]Hugst!$R$5:$W$9,MATCH(ROUNDUP((AC$1)/10,0)*10,[1]Hugst!$R$4:$W$4,0))))</f>
        <v>0</v>
      </c>
      <c r="AD94" s="168">
        <f ca="1">IF($C94-AD$1&lt;År1,0,AC93*(1-VLOOKUP($A94,[1]Hugst!$R$5:$W$9,MATCH(ROUNDUP((AD$1)/10,0)*10,[1]Hugst!$R$4:$W$4,0))))</f>
        <v>0</v>
      </c>
      <c r="AE94" s="168">
        <f ca="1">IF($C94-AE$1&lt;År1,0,AD93*(1-VLOOKUP($A94,[1]Hugst!$R$5:$W$9,MATCH(ROUNDUP((AE$1)/10,0)*10,[1]Hugst!$R$4:$W$4,0))))</f>
        <v>0</v>
      </c>
      <c r="AF94" s="168">
        <f ca="1">IF($C94-AF$1&lt;År1,0,AE93*(1-VLOOKUP($A94,[1]Hugst!$R$5:$W$9,MATCH(ROUNDUP((AF$1)/10,0)*10,[1]Hugst!$R$4:$W$4,0))))</f>
        <v>0</v>
      </c>
      <c r="AG94" s="168">
        <f ca="1">IF($C94-AG$1&lt;År1,0,AF93*(1-VLOOKUP($A94,[1]Hugst!$R$5:$W$9,MATCH(ROUNDUP((AG$1)/10,0)*10,[1]Hugst!$R$4:$W$4,0))))</f>
        <v>0</v>
      </c>
      <c r="AH94" s="168">
        <f ca="1">IF($C94-AH$1&lt;År1,0,AG93*(1-VLOOKUP($A94,[1]Hugst!$R$5:$W$9,MATCH(ROUNDUP((AH$1)/10,0)*10,[1]Hugst!$R$4:$W$4,0))))</f>
        <v>0</v>
      </c>
      <c r="AI94" s="168">
        <f ca="1">IF($C94-AI$1&lt;År1,0,AH93*(1-VLOOKUP($A94,[1]Hugst!$R$5:$W$9,MATCH(ROUNDUP((AI$1)/10,0)*10,[1]Hugst!$R$4:$W$4,0))))</f>
        <v>0</v>
      </c>
      <c r="AJ94" s="168">
        <f ca="1">IF($C94-AJ$1&lt;År1,0,AI93*(1-VLOOKUP($A94,[1]Hugst!$R$5:$W$9,MATCH(ROUNDUP((AJ$1)/10,0)*10,[1]Hugst!$R$4:$W$4,0))))</f>
        <v>0</v>
      </c>
      <c r="AK94" s="168"/>
      <c r="AL94" s="168">
        <f ca="1">SUM(F94:AJ94)</f>
        <v>0</v>
      </c>
      <c r="AM94" s="168"/>
    </row>
    <row r="95" spans="1:39" s="168" customFormat="1" x14ac:dyDescent="0.25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*VLOOKUP(A95,Skovbrug!$A$13:$D$17,IF('Skovbrug-alder'!C95&lt;=År2,3,4),FALSE)-IF(C95&gt;2020,SUM(INDEX($C$1:$D$311,MATCH(1,(2020=$C$1:$C$311)*(B95=$B$1:$B$311)*(A95=$A$1:$A$311),0),2):D94),0))</f>
        <v>0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*VLOOKUP(A96,Skovbrug!$A$13:$D$17,IF('Skovbrug-alder'!C96&lt;=År2,3,4),FALSE)-IF(C96&gt;2020,SUM(INDEX($C$1:$D$311,MATCH(1,(2020=$C$1:$C$311)*(B96=$B$1:$B$311)*(A96=$A$1:$A$311),0),2):D95),0))</f>
        <v>0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8">
        <f ca="1">IF($C96-G$1&lt;År1,0,F95*(1-VLOOKUP($A96,[1]Hugst!$R$5:$W$9,MATCH(ROUNDUP((G$1)/10,0)*10,[1]Hugst!$R$4:$W$4,0))))</f>
        <v>0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*VLOOKUP(A97,Skovbrug!$A$13:$D$17,IF('Skovbrug-alder'!C97&lt;=År2,3,4),FALSE)-IF(C97&gt;2020,SUM(INDEX($C$1:$D$311,MATCH(1,(2020=$C$1:$C$311)*(B97=$B$1:$B$311)*(A97=$A$1:$A$311),0),2):D96),0))</f>
        <v>0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8">
        <f ca="1">IF($C97-G$1&lt;År1,0,F96*(1-VLOOKUP($A97,[1]Hugst!$R$5:$W$9,MATCH(ROUNDUP((G$1)/10,0)*10,[1]Hugst!$R$4:$W$4,0))))</f>
        <v>0</v>
      </c>
      <c r="H97" s="168">
        <f ca="1">IF($C97-H$1&lt;År1,0,G96*(1-VLOOKUP($A97,[1]Hugst!$R$5:$W$9,MATCH(ROUNDUP((H$1)/10,0)*10,[1]Hugst!$R$4:$W$4,0))))</f>
        <v>0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*VLOOKUP(A98,Skovbrug!$A$13:$D$17,IF('Skovbrug-alder'!C98&lt;=År2,3,4),FALSE)-IF(C98&gt;2020,SUM(INDEX($C$1:$D$311,MATCH(1,(2020=$C$1:$C$311)*(B98=$B$1:$B$311)*(A98=$A$1:$A$311),0),2):D97),0))</f>
        <v>0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8">
        <f ca="1">IF($C98-G$1&lt;År1,0,F97*(1-VLOOKUP($A98,[1]Hugst!$R$5:$W$9,MATCH(ROUNDUP((G$1)/10,0)*10,[1]Hugst!$R$4:$W$4,0))))</f>
        <v>0</v>
      </c>
      <c r="H98" s="168">
        <f ca="1">IF($C98-H$1&lt;År1,0,G97*(1-VLOOKUP($A98,[1]Hugst!$R$5:$W$9,MATCH(ROUNDUP((H$1)/10,0)*10,[1]Hugst!$R$4:$W$4,0))))</f>
        <v>0</v>
      </c>
      <c r="I98" s="168">
        <f ca="1">IF($C98-I$1&lt;År1,0,H97*(1-VLOOKUP($A98,[1]Hugst!$R$5:$W$9,MATCH(ROUNDUP((I$1)/10,0)*10,[1]Hugst!$R$4:$W$4,0))))</f>
        <v>0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*VLOOKUP(A99,Skovbrug!$A$13:$D$17,IF('Skovbrug-alder'!C99&lt;=År2,3,4),FALSE)-IF(C99&gt;2020,SUM(INDEX($C$1:$D$311,MATCH(1,(2020=$C$1:$C$311)*(B99=$B$1:$B$311)*(A99=$A$1:$A$311),0),2):D98),0))</f>
        <v>0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8">
        <f ca="1">IF($C99-G$1&lt;År1,0,F98*(1-VLOOKUP($A99,[1]Hugst!$R$5:$W$9,MATCH(ROUNDUP((G$1)/10,0)*10,[1]Hugst!$R$4:$W$4,0))))</f>
        <v>0</v>
      </c>
      <c r="H99" s="168">
        <f ca="1">IF($C99-H$1&lt;År1,0,G98*(1-VLOOKUP($A99,[1]Hugst!$R$5:$W$9,MATCH(ROUNDUP((H$1)/10,0)*10,[1]Hugst!$R$4:$W$4,0))))</f>
        <v>0</v>
      </c>
      <c r="I99" s="168">
        <f ca="1">IF($C99-I$1&lt;År1,0,H98*(1-VLOOKUP($A99,[1]Hugst!$R$5:$W$9,MATCH(ROUNDUP((I$1)/10,0)*10,[1]Hugst!$R$4:$W$4,0))))</f>
        <v>0</v>
      </c>
      <c r="J99" s="168">
        <f ca="1">IF($C99-J$1&lt;År1,0,I98*(1-VLOOKUP($A99,[1]Hugst!$R$5:$W$9,MATCH(ROUNDUP((J$1)/10,0)*10,[1]Hugst!$R$4:$W$4,0))))</f>
        <v>0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*VLOOKUP(A100,Skovbrug!$A$13:$D$17,IF('Skovbrug-alder'!C100&lt;=År2,3,4),FALSE)-IF(C100&gt;2020,SUM(INDEX($C$1:$D$311,MATCH(1,(2020=$C$1:$C$311)*(B100=$B$1:$B$311)*(A100=$A$1:$A$311),0),2):D99),0))</f>
        <v>0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8">
        <f ca="1">IF($C100-G$1&lt;År1,0,F99*(1-VLOOKUP($A100,[1]Hugst!$R$5:$W$9,MATCH(ROUNDUP((G$1)/10,0)*10,[1]Hugst!$R$4:$W$4,0))))</f>
        <v>0</v>
      </c>
      <c r="H100" s="168">
        <f ca="1">IF($C100-H$1&lt;År1,0,G99*(1-VLOOKUP($A100,[1]Hugst!$R$5:$W$9,MATCH(ROUNDUP((H$1)/10,0)*10,[1]Hugst!$R$4:$W$4,0))))</f>
        <v>0</v>
      </c>
      <c r="I100" s="168">
        <f ca="1">IF($C100-I$1&lt;År1,0,H99*(1-VLOOKUP($A100,[1]Hugst!$R$5:$W$9,MATCH(ROUNDUP((I$1)/10,0)*10,[1]Hugst!$R$4:$W$4,0))))</f>
        <v>0</v>
      </c>
      <c r="J100" s="168">
        <f ca="1">IF($C100-J$1&lt;År1,0,I99*(1-VLOOKUP($A100,[1]Hugst!$R$5:$W$9,MATCH(ROUNDUP((J$1)/10,0)*10,[1]Hugst!$R$4:$W$4,0))))</f>
        <v>0</v>
      </c>
      <c r="K100" s="168">
        <f ca="1">IF($C100-K$1&lt;År1,0,J99*(1-VLOOKUP($A100,[1]Hugst!$R$5:$W$9,MATCH(ROUNDUP((K$1)/10,0)*10,[1]Hugst!$R$4:$W$4,0))))</f>
        <v>0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*VLOOKUP(A101,Skovbrug!$A$13:$D$17,IF('Skovbrug-alder'!C101&lt;=År2,3,4),FALSE)-IF(C101&gt;2020,SUM(INDEX($C$1:$D$311,MATCH(1,(2020=$C$1:$C$311)*(B101=$B$1:$B$311)*(A101=$A$1:$A$311),0),2):D100),0))</f>
        <v>0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8">
        <f ca="1">IF($C101-G$1&lt;År1,0,F100*(1-VLOOKUP($A101,[1]Hugst!$R$5:$W$9,MATCH(ROUNDUP((G$1)/10,0)*10,[1]Hugst!$R$4:$W$4,0))))</f>
        <v>0</v>
      </c>
      <c r="H101" s="168">
        <f ca="1">IF($C101-H$1&lt;År1,0,G100*(1-VLOOKUP($A101,[1]Hugst!$R$5:$W$9,MATCH(ROUNDUP((H$1)/10,0)*10,[1]Hugst!$R$4:$W$4,0))))</f>
        <v>0</v>
      </c>
      <c r="I101" s="168">
        <f ca="1">IF($C101-I$1&lt;År1,0,H100*(1-VLOOKUP($A101,[1]Hugst!$R$5:$W$9,MATCH(ROUNDUP((I$1)/10,0)*10,[1]Hugst!$R$4:$W$4,0))))</f>
        <v>0</v>
      </c>
      <c r="J101" s="168">
        <f ca="1">IF($C101-J$1&lt;År1,0,I100*(1-VLOOKUP($A101,[1]Hugst!$R$5:$W$9,MATCH(ROUNDUP((J$1)/10,0)*10,[1]Hugst!$R$4:$W$4,0))))</f>
        <v>0</v>
      </c>
      <c r="K101" s="168">
        <f ca="1">IF($C101-K$1&lt;År1,0,J100*(1-VLOOKUP($A101,[1]Hugst!$R$5:$W$9,MATCH(ROUNDUP((K$1)/10,0)*10,[1]Hugst!$R$4:$W$4,0))))</f>
        <v>0</v>
      </c>
      <c r="L101" s="168">
        <f ca="1">IF($C101-L$1&lt;År1,0,K100*(1-VLOOKUP($A101,[1]Hugst!$R$5:$W$9,MATCH(ROUNDUP((L$1)/10,0)*10,[1]Hugst!$R$4:$W$4,0))))</f>
        <v>0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*VLOOKUP(A102,Skovbrug!$A$13:$D$17,IF('Skovbrug-alder'!C102&lt;=År2,3,4),FALSE)-IF(C102&gt;2020,SUM(INDEX($C$1:$D$311,MATCH(1,(2020=$C$1:$C$311)*(B102=$B$1:$B$311)*(A102=$A$1:$A$311),0),2):D101),0))</f>
        <v>0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8">
        <f ca="1">IF($C102-G$1&lt;År1,0,F101*(1-VLOOKUP($A102,[1]Hugst!$R$5:$W$9,MATCH(ROUNDUP((G$1)/10,0)*10,[1]Hugst!$R$4:$W$4,0))))</f>
        <v>0</v>
      </c>
      <c r="H102" s="168">
        <f ca="1">IF($C102-H$1&lt;År1,0,G101*(1-VLOOKUP($A102,[1]Hugst!$R$5:$W$9,MATCH(ROUNDUP((H$1)/10,0)*10,[1]Hugst!$R$4:$W$4,0))))</f>
        <v>0</v>
      </c>
      <c r="I102" s="168">
        <f ca="1">IF($C102-I$1&lt;År1,0,H101*(1-VLOOKUP($A102,[1]Hugst!$R$5:$W$9,MATCH(ROUNDUP((I$1)/10,0)*10,[1]Hugst!$R$4:$W$4,0))))</f>
        <v>0</v>
      </c>
      <c r="J102" s="168">
        <f ca="1">IF($C102-J$1&lt;År1,0,I101*(1-VLOOKUP($A102,[1]Hugst!$R$5:$W$9,MATCH(ROUNDUP((J$1)/10,0)*10,[1]Hugst!$R$4:$W$4,0))))</f>
        <v>0</v>
      </c>
      <c r="K102" s="168">
        <f ca="1">IF($C102-K$1&lt;År1,0,J101*(1-VLOOKUP($A102,[1]Hugst!$R$5:$W$9,MATCH(ROUNDUP((K$1)/10,0)*10,[1]Hugst!$R$4:$W$4,0))))</f>
        <v>0</v>
      </c>
      <c r="L102" s="168">
        <f ca="1">IF($C102-L$1&lt;År1,0,K101*(1-VLOOKUP($A102,[1]Hugst!$R$5:$W$9,MATCH(ROUNDUP((L$1)/10,0)*10,[1]Hugst!$R$4:$W$4,0))))</f>
        <v>0</v>
      </c>
      <c r="M102" s="168">
        <f ca="1">IF($C102-M$1&lt;År1,0,L101*(1-VLOOKUP($A102,[1]Hugst!$R$5:$W$9,MATCH(ROUNDUP((M$1)/10,0)*10,[1]Hugst!$R$4:$W$4,0))))</f>
        <v>0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*VLOOKUP(A103,Skovbrug!$A$13:$D$17,IF('Skovbrug-alder'!C103&lt;=År2,3,4),FALSE)-IF(C103&gt;2020,SUM(INDEX($C$1:$D$311,MATCH(1,(2020=$C$1:$C$311)*(B103=$B$1:$B$311)*(A103=$A$1:$A$311),0),2):D102),0))</f>
        <v>0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8">
        <f ca="1">IF($C103-G$1&lt;År1,0,F102*(1-VLOOKUP($A103,[1]Hugst!$R$5:$W$9,MATCH(ROUNDUP((G$1)/10,0)*10,[1]Hugst!$R$4:$W$4,0))))</f>
        <v>0</v>
      </c>
      <c r="H103" s="168">
        <f ca="1">IF($C103-H$1&lt;År1,0,G102*(1-VLOOKUP($A103,[1]Hugst!$R$5:$W$9,MATCH(ROUNDUP((H$1)/10,0)*10,[1]Hugst!$R$4:$W$4,0))))</f>
        <v>0</v>
      </c>
      <c r="I103" s="168">
        <f ca="1">IF($C103-I$1&lt;År1,0,H102*(1-VLOOKUP($A103,[1]Hugst!$R$5:$W$9,MATCH(ROUNDUP((I$1)/10,0)*10,[1]Hugst!$R$4:$W$4,0))))</f>
        <v>0</v>
      </c>
      <c r="J103" s="168">
        <f ca="1">IF($C103-J$1&lt;År1,0,I102*(1-VLOOKUP($A103,[1]Hugst!$R$5:$W$9,MATCH(ROUNDUP((J$1)/10,0)*10,[1]Hugst!$R$4:$W$4,0))))</f>
        <v>0</v>
      </c>
      <c r="K103" s="168">
        <f ca="1">IF($C103-K$1&lt;År1,0,J102*(1-VLOOKUP($A103,[1]Hugst!$R$5:$W$9,MATCH(ROUNDUP((K$1)/10,0)*10,[1]Hugst!$R$4:$W$4,0))))</f>
        <v>0</v>
      </c>
      <c r="L103" s="168">
        <f ca="1">IF($C103-L$1&lt;År1,0,K102*(1-VLOOKUP($A103,[1]Hugst!$R$5:$W$9,MATCH(ROUNDUP((L$1)/10,0)*10,[1]Hugst!$R$4:$W$4,0))))</f>
        <v>0</v>
      </c>
      <c r="M103" s="168">
        <f ca="1">IF($C103-M$1&lt;År1,0,L102*(1-VLOOKUP($A103,[1]Hugst!$R$5:$W$9,MATCH(ROUNDUP((M$1)/10,0)*10,[1]Hugst!$R$4:$W$4,0))))</f>
        <v>0</v>
      </c>
      <c r="N103" s="168">
        <f ca="1">IF($C103-N$1&lt;År1,0,M102*(1-VLOOKUP($A103,[1]Hugst!$R$5:$W$9,MATCH(ROUNDUP((N$1)/10,0)*10,[1]Hugst!$R$4:$W$4,0))))</f>
        <v>0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*VLOOKUP(A104,Skovbrug!$A$13:$D$17,IF('Skovbrug-alder'!C104&lt;=År2,3,4),FALSE)-IF(C104&gt;2020,SUM(INDEX($C$1:$D$311,MATCH(1,(2020=$C$1:$C$311)*(B104=$B$1:$B$311)*(A104=$A$1:$A$311),0),2):D103),0))</f>
        <v>0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8">
        <f ca="1">IF($C104-G$1&lt;År1,0,F103*(1-VLOOKUP($A104,[1]Hugst!$R$5:$W$9,MATCH(ROUNDUP((G$1)/10,0)*10,[1]Hugst!$R$4:$W$4,0))))</f>
        <v>0</v>
      </c>
      <c r="H104" s="168">
        <f ca="1">IF($C104-H$1&lt;År1,0,G103*(1-VLOOKUP($A104,[1]Hugst!$R$5:$W$9,MATCH(ROUNDUP((H$1)/10,0)*10,[1]Hugst!$R$4:$W$4,0))))</f>
        <v>0</v>
      </c>
      <c r="I104" s="168">
        <f ca="1">IF($C104-I$1&lt;År1,0,H103*(1-VLOOKUP($A104,[1]Hugst!$R$5:$W$9,MATCH(ROUNDUP((I$1)/10,0)*10,[1]Hugst!$R$4:$W$4,0))))</f>
        <v>0</v>
      </c>
      <c r="J104" s="168">
        <f ca="1">IF($C104-J$1&lt;År1,0,I103*(1-VLOOKUP($A104,[1]Hugst!$R$5:$W$9,MATCH(ROUNDUP((J$1)/10,0)*10,[1]Hugst!$R$4:$W$4,0))))</f>
        <v>0</v>
      </c>
      <c r="K104" s="168">
        <f ca="1">IF($C104-K$1&lt;År1,0,J103*(1-VLOOKUP($A104,[1]Hugst!$R$5:$W$9,MATCH(ROUNDUP((K$1)/10,0)*10,[1]Hugst!$R$4:$W$4,0))))</f>
        <v>0</v>
      </c>
      <c r="L104" s="168">
        <f ca="1">IF($C104-L$1&lt;År1,0,K103*(1-VLOOKUP($A104,[1]Hugst!$R$5:$W$9,MATCH(ROUNDUP((L$1)/10,0)*10,[1]Hugst!$R$4:$W$4,0))))</f>
        <v>0</v>
      </c>
      <c r="M104" s="168">
        <f ca="1">IF($C104-M$1&lt;År1,0,L103*(1-VLOOKUP($A104,[1]Hugst!$R$5:$W$9,MATCH(ROUNDUP((M$1)/10,0)*10,[1]Hugst!$R$4:$W$4,0))))</f>
        <v>0</v>
      </c>
      <c r="N104" s="168">
        <f ca="1">IF($C104-N$1&lt;År1,0,M103*(1-VLOOKUP($A104,[1]Hugst!$R$5:$W$9,MATCH(ROUNDUP((N$1)/10,0)*10,[1]Hugst!$R$4:$W$4,0))))</f>
        <v>0</v>
      </c>
      <c r="O104" s="168">
        <f ca="1">IF($C104-O$1&lt;År1,0,N103*(1-VLOOKUP($A104,[1]Hugst!$R$5:$W$9,MATCH(ROUNDUP((O$1)/10,0)*10,[1]Hugst!$R$4:$W$4,0))))</f>
        <v>0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*VLOOKUP(A105,Skovbrug!$A$13:$D$17,IF('Skovbrug-alder'!C105&lt;=År2,3,4),FALSE)-IF(C105&gt;2020,SUM(INDEX($C$1:$D$311,MATCH(1,(2020=$C$1:$C$311)*(B105=$B$1:$B$311)*(A105=$A$1:$A$311),0),2):D104),0))</f>
        <v>0</v>
      </c>
      <c r="E105" s="168">
        <f t="shared" ca="1" si="2"/>
        <v>0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8">
        <f ca="1">IF($C105-G$1&lt;År1,0,F104*(1-VLOOKUP($A105,[1]Hugst!$R$5:$W$9,MATCH(ROUNDUP((G$1)/10,0)*10,[1]Hugst!$R$4:$W$4,0))))</f>
        <v>0</v>
      </c>
      <c r="H105" s="168">
        <f ca="1">IF($C105-H$1&lt;År1,0,G104*(1-VLOOKUP($A105,[1]Hugst!$R$5:$W$9,MATCH(ROUNDUP((H$1)/10,0)*10,[1]Hugst!$R$4:$W$4,0))))</f>
        <v>0</v>
      </c>
      <c r="I105" s="168">
        <f ca="1">IF($C105-I$1&lt;År1,0,H104*(1-VLOOKUP($A105,[1]Hugst!$R$5:$W$9,MATCH(ROUNDUP((I$1)/10,0)*10,[1]Hugst!$R$4:$W$4,0))))</f>
        <v>0</v>
      </c>
      <c r="J105" s="168">
        <f ca="1">IF($C105-J$1&lt;År1,0,I104*(1-VLOOKUP($A105,[1]Hugst!$R$5:$W$9,MATCH(ROUNDUP((J$1)/10,0)*10,[1]Hugst!$R$4:$W$4,0))))</f>
        <v>0</v>
      </c>
      <c r="K105" s="168">
        <f ca="1">IF($C105-K$1&lt;År1,0,J104*(1-VLOOKUP($A105,[1]Hugst!$R$5:$W$9,MATCH(ROUNDUP((K$1)/10,0)*10,[1]Hugst!$R$4:$W$4,0))))</f>
        <v>0</v>
      </c>
      <c r="L105" s="168">
        <f ca="1">IF($C105-L$1&lt;År1,0,K104*(1-VLOOKUP($A105,[1]Hugst!$R$5:$W$9,MATCH(ROUNDUP((L$1)/10,0)*10,[1]Hugst!$R$4:$W$4,0))))</f>
        <v>0</v>
      </c>
      <c r="M105" s="168">
        <f ca="1">IF($C105-M$1&lt;År1,0,L104*(1-VLOOKUP($A105,[1]Hugst!$R$5:$W$9,MATCH(ROUNDUP((M$1)/10,0)*10,[1]Hugst!$R$4:$W$4,0))))</f>
        <v>0</v>
      </c>
      <c r="N105" s="168">
        <f ca="1">IF($C105-N$1&lt;År1,0,M104*(1-VLOOKUP($A105,[1]Hugst!$R$5:$W$9,MATCH(ROUNDUP((N$1)/10,0)*10,[1]Hugst!$R$4:$W$4,0))))</f>
        <v>0</v>
      </c>
      <c r="O105" s="168">
        <f ca="1">IF($C105-O$1&lt;År1,0,N104*(1-VLOOKUP($A105,[1]Hugst!$R$5:$W$9,MATCH(ROUNDUP((O$1)/10,0)*10,[1]Hugst!$R$4:$W$4,0))))</f>
        <v>0</v>
      </c>
      <c r="P105" s="168">
        <f ca="1">IF($C105-P$1&lt;År1,0,O104*(1-VLOOKUP($A105,[1]Hugst!$R$5:$W$9,MATCH(ROUNDUP((P$1)/10,0)*10,[1]Hugst!$R$4:$W$4,0))))</f>
        <v>0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*VLOOKUP(A106,Skovbrug!$A$13:$D$17,IF('Skovbrug-alder'!C106&lt;=År2,3,4),FALSE)-IF(C106&gt;2020,SUM(INDEX($C$1:$D$311,MATCH(1,(2020=$C$1:$C$311)*(B106=$B$1:$B$311)*(A106=$A$1:$A$311),0),2):D105),0))</f>
        <v>0</v>
      </c>
      <c r="E106" s="168">
        <f t="shared" ca="1" si="2"/>
        <v>0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8">
        <f ca="1">IF($C106-G$1&lt;År1,0,F105*(1-VLOOKUP($A106,[1]Hugst!$R$5:$W$9,MATCH(ROUNDUP((G$1)/10,0)*10,[1]Hugst!$R$4:$W$4,0))))</f>
        <v>0</v>
      </c>
      <c r="H106" s="168">
        <f ca="1">IF($C106-H$1&lt;År1,0,G105*(1-VLOOKUP($A106,[1]Hugst!$R$5:$W$9,MATCH(ROUNDUP((H$1)/10,0)*10,[1]Hugst!$R$4:$W$4,0))))</f>
        <v>0</v>
      </c>
      <c r="I106" s="168">
        <f ca="1">IF($C106-I$1&lt;År1,0,H105*(1-VLOOKUP($A106,[1]Hugst!$R$5:$W$9,MATCH(ROUNDUP((I$1)/10,0)*10,[1]Hugst!$R$4:$W$4,0))))</f>
        <v>0</v>
      </c>
      <c r="J106" s="168">
        <f ca="1">IF($C106-J$1&lt;År1,0,I105*(1-VLOOKUP($A106,[1]Hugst!$R$5:$W$9,MATCH(ROUNDUP((J$1)/10,0)*10,[1]Hugst!$R$4:$W$4,0))))</f>
        <v>0</v>
      </c>
      <c r="K106" s="168">
        <f ca="1">IF($C106-K$1&lt;År1,0,J105*(1-VLOOKUP($A106,[1]Hugst!$R$5:$W$9,MATCH(ROUNDUP((K$1)/10,0)*10,[1]Hugst!$R$4:$W$4,0))))</f>
        <v>0</v>
      </c>
      <c r="L106" s="168">
        <f ca="1">IF($C106-L$1&lt;År1,0,K105*(1-VLOOKUP($A106,[1]Hugst!$R$5:$W$9,MATCH(ROUNDUP((L$1)/10,0)*10,[1]Hugst!$R$4:$W$4,0))))</f>
        <v>0</v>
      </c>
      <c r="M106" s="168">
        <f ca="1">IF($C106-M$1&lt;År1,0,L105*(1-VLOOKUP($A106,[1]Hugst!$R$5:$W$9,MATCH(ROUNDUP((M$1)/10,0)*10,[1]Hugst!$R$4:$W$4,0))))</f>
        <v>0</v>
      </c>
      <c r="N106" s="168">
        <f ca="1">IF($C106-N$1&lt;År1,0,M105*(1-VLOOKUP($A106,[1]Hugst!$R$5:$W$9,MATCH(ROUNDUP((N$1)/10,0)*10,[1]Hugst!$R$4:$W$4,0))))</f>
        <v>0</v>
      </c>
      <c r="O106" s="168">
        <f ca="1">IF($C106-O$1&lt;År1,0,N105*(1-VLOOKUP($A106,[1]Hugst!$R$5:$W$9,MATCH(ROUNDUP((O$1)/10,0)*10,[1]Hugst!$R$4:$W$4,0))))</f>
        <v>0</v>
      </c>
      <c r="P106" s="168">
        <f ca="1">IF($C106-P$1&lt;År1,0,O105*(1-VLOOKUP($A106,[1]Hugst!$R$5:$W$9,MATCH(ROUNDUP((P$1)/10,0)*10,[1]Hugst!$R$4:$W$4,0))))</f>
        <v>0</v>
      </c>
      <c r="Q106" s="168">
        <f ca="1">IF($C106-Q$1&lt;År1,0,P105*(1-VLOOKUP($A106,[1]Hugst!$R$5:$W$9,MATCH(ROUNDUP((Q$1)/10,0)*10,[1]Hugst!$R$4:$W$4,0))))</f>
        <v>0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*VLOOKUP(A107,Skovbrug!$A$13:$D$17,IF('Skovbrug-alder'!C107&lt;=År2,3,4),FALSE)-IF(C107&gt;2020,SUM(INDEX($C$1:$D$311,MATCH(1,(2020=$C$1:$C$311)*(B107=$B$1:$B$311)*(A107=$A$1:$A$311),0),2):D106),0))</f>
        <v>0</v>
      </c>
      <c r="E107" s="168">
        <f t="shared" ca="1" si="2"/>
        <v>0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8">
        <f ca="1">IF($C107-G$1&lt;År1,0,F106*(1-VLOOKUP($A107,[1]Hugst!$R$5:$W$9,MATCH(ROUNDUP((G$1)/10,0)*10,[1]Hugst!$R$4:$W$4,0))))</f>
        <v>0</v>
      </c>
      <c r="H107" s="168">
        <f ca="1">IF($C107-H$1&lt;År1,0,G106*(1-VLOOKUP($A107,[1]Hugst!$R$5:$W$9,MATCH(ROUNDUP((H$1)/10,0)*10,[1]Hugst!$R$4:$W$4,0))))</f>
        <v>0</v>
      </c>
      <c r="I107" s="168">
        <f ca="1">IF($C107-I$1&lt;År1,0,H106*(1-VLOOKUP($A107,[1]Hugst!$R$5:$W$9,MATCH(ROUNDUP((I$1)/10,0)*10,[1]Hugst!$R$4:$W$4,0))))</f>
        <v>0</v>
      </c>
      <c r="J107" s="168">
        <f ca="1">IF($C107-J$1&lt;År1,0,I106*(1-VLOOKUP($A107,[1]Hugst!$R$5:$W$9,MATCH(ROUNDUP((J$1)/10,0)*10,[1]Hugst!$R$4:$W$4,0))))</f>
        <v>0</v>
      </c>
      <c r="K107" s="168">
        <f ca="1">IF($C107-K$1&lt;År1,0,J106*(1-VLOOKUP($A107,[1]Hugst!$R$5:$W$9,MATCH(ROUNDUP((K$1)/10,0)*10,[1]Hugst!$R$4:$W$4,0))))</f>
        <v>0</v>
      </c>
      <c r="L107" s="168">
        <f ca="1">IF($C107-L$1&lt;År1,0,K106*(1-VLOOKUP($A107,[1]Hugst!$R$5:$W$9,MATCH(ROUNDUP((L$1)/10,0)*10,[1]Hugst!$R$4:$W$4,0))))</f>
        <v>0</v>
      </c>
      <c r="M107" s="168">
        <f ca="1">IF($C107-M$1&lt;År1,0,L106*(1-VLOOKUP($A107,[1]Hugst!$R$5:$W$9,MATCH(ROUNDUP((M$1)/10,0)*10,[1]Hugst!$R$4:$W$4,0))))</f>
        <v>0</v>
      </c>
      <c r="N107" s="168">
        <f ca="1">IF($C107-N$1&lt;År1,0,M106*(1-VLOOKUP($A107,[1]Hugst!$R$5:$W$9,MATCH(ROUNDUP((N$1)/10,0)*10,[1]Hugst!$R$4:$W$4,0))))</f>
        <v>0</v>
      </c>
      <c r="O107" s="168">
        <f ca="1">IF($C107-O$1&lt;År1,0,N106*(1-VLOOKUP($A107,[1]Hugst!$R$5:$W$9,MATCH(ROUNDUP((O$1)/10,0)*10,[1]Hugst!$R$4:$W$4,0))))</f>
        <v>0</v>
      </c>
      <c r="P107" s="168">
        <f ca="1">IF($C107-P$1&lt;År1,0,O106*(1-VLOOKUP($A107,[1]Hugst!$R$5:$W$9,MATCH(ROUNDUP((P$1)/10,0)*10,[1]Hugst!$R$4:$W$4,0))))</f>
        <v>0</v>
      </c>
      <c r="Q107" s="168">
        <f ca="1">IF($C107-Q$1&lt;År1,0,P106*(1-VLOOKUP($A107,[1]Hugst!$R$5:$W$9,MATCH(ROUNDUP((Q$1)/10,0)*10,[1]Hugst!$R$4:$W$4,0))))</f>
        <v>0</v>
      </c>
      <c r="R107" s="168">
        <f ca="1">IF($C107-R$1&lt;År1,0,Q106*(1-VLOOKUP($A107,[1]Hugst!$R$5:$W$9,MATCH(ROUNDUP((R$1)/10,0)*10,[1]Hugst!$R$4:$W$4,0))))</f>
        <v>0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*VLOOKUP(A108,Skovbrug!$A$13:$D$17,IF('Skovbrug-alder'!C108&lt;=År2,3,4),FALSE)-IF(C108&gt;2020,SUM(INDEX($C$1:$D$311,MATCH(1,(2020=$C$1:$C$311)*(B108=$B$1:$B$311)*(A108=$A$1:$A$311),0),2):D107),0))</f>
        <v>0</v>
      </c>
      <c r="E108" s="168">
        <f t="shared" ca="1" si="2"/>
        <v>0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8">
        <f ca="1">IF($C108-G$1&lt;År1,0,F107*(1-VLOOKUP($A108,[1]Hugst!$R$5:$W$9,MATCH(ROUNDUP((G$1)/10,0)*10,[1]Hugst!$R$4:$W$4,0))))</f>
        <v>0</v>
      </c>
      <c r="H108" s="168">
        <f ca="1">IF($C108-H$1&lt;År1,0,G107*(1-VLOOKUP($A108,[1]Hugst!$R$5:$W$9,MATCH(ROUNDUP((H$1)/10,0)*10,[1]Hugst!$R$4:$W$4,0))))</f>
        <v>0</v>
      </c>
      <c r="I108" s="168">
        <f ca="1">IF($C108-I$1&lt;År1,0,H107*(1-VLOOKUP($A108,[1]Hugst!$R$5:$W$9,MATCH(ROUNDUP((I$1)/10,0)*10,[1]Hugst!$R$4:$W$4,0))))</f>
        <v>0</v>
      </c>
      <c r="J108" s="168">
        <f ca="1">IF($C108-J$1&lt;År1,0,I107*(1-VLOOKUP($A108,[1]Hugst!$R$5:$W$9,MATCH(ROUNDUP((J$1)/10,0)*10,[1]Hugst!$R$4:$W$4,0))))</f>
        <v>0</v>
      </c>
      <c r="K108" s="168">
        <f ca="1">IF($C108-K$1&lt;År1,0,J107*(1-VLOOKUP($A108,[1]Hugst!$R$5:$W$9,MATCH(ROUNDUP((K$1)/10,0)*10,[1]Hugst!$R$4:$W$4,0))))</f>
        <v>0</v>
      </c>
      <c r="L108" s="168">
        <f ca="1">IF($C108-L$1&lt;År1,0,K107*(1-VLOOKUP($A108,[1]Hugst!$R$5:$W$9,MATCH(ROUNDUP((L$1)/10,0)*10,[1]Hugst!$R$4:$W$4,0))))</f>
        <v>0</v>
      </c>
      <c r="M108" s="168">
        <f ca="1">IF($C108-M$1&lt;År1,0,L107*(1-VLOOKUP($A108,[1]Hugst!$R$5:$W$9,MATCH(ROUNDUP((M$1)/10,0)*10,[1]Hugst!$R$4:$W$4,0))))</f>
        <v>0</v>
      </c>
      <c r="N108" s="168">
        <f ca="1">IF($C108-N$1&lt;År1,0,M107*(1-VLOOKUP($A108,[1]Hugst!$R$5:$W$9,MATCH(ROUNDUP((N$1)/10,0)*10,[1]Hugst!$R$4:$W$4,0))))</f>
        <v>0</v>
      </c>
      <c r="O108" s="168">
        <f ca="1">IF($C108-O$1&lt;År1,0,N107*(1-VLOOKUP($A108,[1]Hugst!$R$5:$W$9,MATCH(ROUNDUP((O$1)/10,0)*10,[1]Hugst!$R$4:$W$4,0))))</f>
        <v>0</v>
      </c>
      <c r="P108" s="168">
        <f ca="1">IF($C108-P$1&lt;År1,0,O107*(1-VLOOKUP($A108,[1]Hugst!$R$5:$W$9,MATCH(ROUNDUP((P$1)/10,0)*10,[1]Hugst!$R$4:$W$4,0))))</f>
        <v>0</v>
      </c>
      <c r="Q108" s="168">
        <f ca="1">IF($C108-Q$1&lt;År1,0,P107*(1-VLOOKUP($A108,[1]Hugst!$R$5:$W$9,MATCH(ROUNDUP((Q$1)/10,0)*10,[1]Hugst!$R$4:$W$4,0))))</f>
        <v>0</v>
      </c>
      <c r="R108" s="168">
        <f ca="1">IF($C108-R$1&lt;År1,0,Q107*(1-VLOOKUP($A108,[1]Hugst!$R$5:$W$9,MATCH(ROUNDUP((R$1)/10,0)*10,[1]Hugst!$R$4:$W$4,0))))</f>
        <v>0</v>
      </c>
      <c r="S108" s="168">
        <f ca="1">IF($C108-S$1&lt;År1,0,R107*(1-VLOOKUP($A108,[1]Hugst!$R$5:$W$9,MATCH(ROUNDUP((S$1)/10,0)*10,[1]Hugst!$R$4:$W$4,0))))</f>
        <v>0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*VLOOKUP(A109,Skovbrug!$A$13:$D$17,IF('Skovbrug-alder'!C109&lt;=År2,3,4),FALSE)-IF(C109&gt;2020,SUM(INDEX($C$1:$D$311,MATCH(1,(2020=$C$1:$C$311)*(B109=$B$1:$B$311)*(A109=$A$1:$A$311),0),2):D108),0))</f>
        <v>0</v>
      </c>
      <c r="E109" s="168">
        <f t="shared" ca="1" si="2"/>
        <v>0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8">
        <f ca="1">IF($C109-G$1&lt;År1,0,F108*(1-VLOOKUP($A109,[1]Hugst!$R$5:$W$9,MATCH(ROUNDUP((G$1)/10,0)*10,[1]Hugst!$R$4:$W$4,0))))</f>
        <v>0</v>
      </c>
      <c r="H109" s="168">
        <f ca="1">IF($C109-H$1&lt;År1,0,G108*(1-VLOOKUP($A109,[1]Hugst!$R$5:$W$9,MATCH(ROUNDUP((H$1)/10,0)*10,[1]Hugst!$R$4:$W$4,0))))</f>
        <v>0</v>
      </c>
      <c r="I109" s="168">
        <f ca="1">IF($C109-I$1&lt;År1,0,H108*(1-VLOOKUP($A109,[1]Hugst!$R$5:$W$9,MATCH(ROUNDUP((I$1)/10,0)*10,[1]Hugst!$R$4:$W$4,0))))</f>
        <v>0</v>
      </c>
      <c r="J109" s="168">
        <f ca="1">IF($C109-J$1&lt;År1,0,I108*(1-VLOOKUP($A109,[1]Hugst!$R$5:$W$9,MATCH(ROUNDUP((J$1)/10,0)*10,[1]Hugst!$R$4:$W$4,0))))</f>
        <v>0</v>
      </c>
      <c r="K109" s="168">
        <f ca="1">IF($C109-K$1&lt;År1,0,J108*(1-VLOOKUP($A109,[1]Hugst!$R$5:$W$9,MATCH(ROUNDUP((K$1)/10,0)*10,[1]Hugst!$R$4:$W$4,0))))</f>
        <v>0</v>
      </c>
      <c r="L109" s="168">
        <f ca="1">IF($C109-L$1&lt;År1,0,K108*(1-VLOOKUP($A109,[1]Hugst!$R$5:$W$9,MATCH(ROUNDUP((L$1)/10,0)*10,[1]Hugst!$R$4:$W$4,0))))</f>
        <v>0</v>
      </c>
      <c r="M109" s="168">
        <f ca="1">IF($C109-M$1&lt;År1,0,L108*(1-VLOOKUP($A109,[1]Hugst!$R$5:$W$9,MATCH(ROUNDUP((M$1)/10,0)*10,[1]Hugst!$R$4:$W$4,0))))</f>
        <v>0</v>
      </c>
      <c r="N109" s="168">
        <f ca="1">IF($C109-N$1&lt;År1,0,M108*(1-VLOOKUP($A109,[1]Hugst!$R$5:$W$9,MATCH(ROUNDUP((N$1)/10,0)*10,[1]Hugst!$R$4:$W$4,0))))</f>
        <v>0</v>
      </c>
      <c r="O109" s="168">
        <f ca="1">IF($C109-O$1&lt;År1,0,N108*(1-VLOOKUP($A109,[1]Hugst!$R$5:$W$9,MATCH(ROUNDUP((O$1)/10,0)*10,[1]Hugst!$R$4:$W$4,0))))</f>
        <v>0</v>
      </c>
      <c r="P109" s="168">
        <f ca="1">IF($C109-P$1&lt;År1,0,O108*(1-VLOOKUP($A109,[1]Hugst!$R$5:$W$9,MATCH(ROUNDUP((P$1)/10,0)*10,[1]Hugst!$R$4:$W$4,0))))</f>
        <v>0</v>
      </c>
      <c r="Q109" s="168">
        <f ca="1">IF($C109-Q$1&lt;År1,0,P108*(1-VLOOKUP($A109,[1]Hugst!$R$5:$W$9,MATCH(ROUNDUP((Q$1)/10,0)*10,[1]Hugst!$R$4:$W$4,0))))</f>
        <v>0</v>
      </c>
      <c r="R109" s="168">
        <f ca="1">IF($C109-R$1&lt;År1,0,Q108*(1-VLOOKUP($A109,[1]Hugst!$R$5:$W$9,MATCH(ROUNDUP((R$1)/10,0)*10,[1]Hugst!$R$4:$W$4,0))))</f>
        <v>0</v>
      </c>
      <c r="S109" s="168">
        <f ca="1">IF($C109-S$1&lt;År1,0,R108*(1-VLOOKUP($A109,[1]Hugst!$R$5:$W$9,MATCH(ROUNDUP((S$1)/10,0)*10,[1]Hugst!$R$4:$W$4,0))))</f>
        <v>0</v>
      </c>
      <c r="T109" s="168">
        <f ca="1">IF($C109-T$1&lt;År1,0,S108*(1-VLOOKUP($A109,[1]Hugst!$R$5:$W$9,MATCH(ROUNDUP((T$1)/10,0)*10,[1]Hugst!$R$4:$W$4,0))))</f>
        <v>0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*VLOOKUP(A110,Skovbrug!$A$13:$D$17,IF('Skovbrug-alder'!C110&lt;=År2,3,4),FALSE)-IF(C110&gt;2020,SUM(INDEX($C$1:$D$311,MATCH(1,(2020=$C$1:$C$311)*(B110=$B$1:$B$311)*(A110=$A$1:$A$311),0),2):D109),0))</f>
        <v>0</v>
      </c>
      <c r="E110" s="168">
        <f t="shared" ca="1" si="2"/>
        <v>0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8">
        <f ca="1">IF($C110-G$1&lt;År1,0,F109*(1-VLOOKUP($A110,[1]Hugst!$R$5:$W$9,MATCH(ROUNDUP((G$1)/10,0)*10,[1]Hugst!$R$4:$W$4,0))))</f>
        <v>0</v>
      </c>
      <c r="H110" s="168">
        <f ca="1">IF($C110-H$1&lt;År1,0,G109*(1-VLOOKUP($A110,[1]Hugst!$R$5:$W$9,MATCH(ROUNDUP((H$1)/10,0)*10,[1]Hugst!$R$4:$W$4,0))))</f>
        <v>0</v>
      </c>
      <c r="I110" s="168">
        <f ca="1">IF($C110-I$1&lt;År1,0,H109*(1-VLOOKUP($A110,[1]Hugst!$R$5:$W$9,MATCH(ROUNDUP((I$1)/10,0)*10,[1]Hugst!$R$4:$W$4,0))))</f>
        <v>0</v>
      </c>
      <c r="J110" s="168">
        <f ca="1">IF($C110-J$1&lt;År1,0,I109*(1-VLOOKUP($A110,[1]Hugst!$R$5:$W$9,MATCH(ROUNDUP((J$1)/10,0)*10,[1]Hugst!$R$4:$W$4,0))))</f>
        <v>0</v>
      </c>
      <c r="K110" s="168">
        <f ca="1">IF($C110-K$1&lt;År1,0,J109*(1-VLOOKUP($A110,[1]Hugst!$R$5:$W$9,MATCH(ROUNDUP((K$1)/10,0)*10,[1]Hugst!$R$4:$W$4,0))))</f>
        <v>0</v>
      </c>
      <c r="L110" s="168">
        <f ca="1">IF($C110-L$1&lt;År1,0,K109*(1-VLOOKUP($A110,[1]Hugst!$R$5:$W$9,MATCH(ROUNDUP((L$1)/10,0)*10,[1]Hugst!$R$4:$W$4,0))))</f>
        <v>0</v>
      </c>
      <c r="M110" s="168">
        <f ca="1">IF($C110-M$1&lt;År1,0,L109*(1-VLOOKUP($A110,[1]Hugst!$R$5:$W$9,MATCH(ROUNDUP((M$1)/10,0)*10,[1]Hugst!$R$4:$W$4,0))))</f>
        <v>0</v>
      </c>
      <c r="N110" s="168">
        <f ca="1">IF($C110-N$1&lt;År1,0,M109*(1-VLOOKUP($A110,[1]Hugst!$R$5:$W$9,MATCH(ROUNDUP((N$1)/10,0)*10,[1]Hugst!$R$4:$W$4,0))))</f>
        <v>0</v>
      </c>
      <c r="O110" s="168">
        <f ca="1">IF($C110-O$1&lt;År1,0,N109*(1-VLOOKUP($A110,[1]Hugst!$R$5:$W$9,MATCH(ROUNDUP((O$1)/10,0)*10,[1]Hugst!$R$4:$W$4,0))))</f>
        <v>0</v>
      </c>
      <c r="P110" s="168">
        <f ca="1">IF($C110-P$1&lt;År1,0,O109*(1-VLOOKUP($A110,[1]Hugst!$R$5:$W$9,MATCH(ROUNDUP((P$1)/10,0)*10,[1]Hugst!$R$4:$W$4,0))))</f>
        <v>0</v>
      </c>
      <c r="Q110" s="168">
        <f ca="1">IF($C110-Q$1&lt;År1,0,P109*(1-VLOOKUP($A110,[1]Hugst!$R$5:$W$9,MATCH(ROUNDUP((Q$1)/10,0)*10,[1]Hugst!$R$4:$W$4,0))))</f>
        <v>0</v>
      </c>
      <c r="R110" s="168">
        <f ca="1">IF($C110-R$1&lt;År1,0,Q109*(1-VLOOKUP($A110,[1]Hugst!$R$5:$W$9,MATCH(ROUNDUP((R$1)/10,0)*10,[1]Hugst!$R$4:$W$4,0))))</f>
        <v>0</v>
      </c>
      <c r="S110" s="168">
        <f ca="1">IF($C110-S$1&lt;År1,0,R109*(1-VLOOKUP($A110,[1]Hugst!$R$5:$W$9,MATCH(ROUNDUP((S$1)/10,0)*10,[1]Hugst!$R$4:$W$4,0))))</f>
        <v>0</v>
      </c>
      <c r="T110" s="168">
        <f ca="1">IF($C110-T$1&lt;År1,0,S109*(1-VLOOKUP($A110,[1]Hugst!$R$5:$W$9,MATCH(ROUNDUP((T$1)/10,0)*10,[1]Hugst!$R$4:$W$4,0))))</f>
        <v>0</v>
      </c>
      <c r="U110" s="168">
        <f ca="1">IF($C110-U$1&lt;År1,0,T109*(1-VLOOKUP($A110,[1]Hugst!$R$5:$W$9,MATCH(ROUNDUP((U$1)/10,0)*10,[1]Hugst!$R$4:$W$4,0))))</f>
        <v>0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*VLOOKUP(A111,Skovbrug!$A$13:$D$17,IF('Skovbrug-alder'!C111&lt;=År2,3,4),FALSE)-IF(C111&gt;2020,SUM(INDEX($C$1:$D$311,MATCH(1,(2020=$C$1:$C$311)*(B111=$B$1:$B$311)*(A111=$A$1:$A$311),0),2):D110),0))</f>
        <v>0</v>
      </c>
      <c r="E111" s="168">
        <f t="shared" ca="1" si="2"/>
        <v>0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8">
        <f ca="1">IF($C111-G$1&lt;År1,0,F110*(1-VLOOKUP($A111,[1]Hugst!$R$5:$W$9,MATCH(ROUNDUP((G$1)/10,0)*10,[1]Hugst!$R$4:$W$4,0))))</f>
        <v>0</v>
      </c>
      <c r="H111" s="168">
        <f ca="1">IF($C111-H$1&lt;År1,0,G110*(1-VLOOKUP($A111,[1]Hugst!$R$5:$W$9,MATCH(ROUNDUP((H$1)/10,0)*10,[1]Hugst!$R$4:$W$4,0))))</f>
        <v>0</v>
      </c>
      <c r="I111" s="168">
        <f ca="1">IF($C111-I$1&lt;År1,0,H110*(1-VLOOKUP($A111,[1]Hugst!$R$5:$W$9,MATCH(ROUNDUP((I$1)/10,0)*10,[1]Hugst!$R$4:$W$4,0))))</f>
        <v>0</v>
      </c>
      <c r="J111" s="168">
        <f ca="1">IF($C111-J$1&lt;År1,0,I110*(1-VLOOKUP($A111,[1]Hugst!$R$5:$W$9,MATCH(ROUNDUP((J$1)/10,0)*10,[1]Hugst!$R$4:$W$4,0))))</f>
        <v>0</v>
      </c>
      <c r="K111" s="168">
        <f ca="1">IF($C111-K$1&lt;År1,0,J110*(1-VLOOKUP($A111,[1]Hugst!$R$5:$W$9,MATCH(ROUNDUP((K$1)/10,0)*10,[1]Hugst!$R$4:$W$4,0))))</f>
        <v>0</v>
      </c>
      <c r="L111" s="168">
        <f ca="1">IF($C111-L$1&lt;År1,0,K110*(1-VLOOKUP($A111,[1]Hugst!$R$5:$W$9,MATCH(ROUNDUP((L$1)/10,0)*10,[1]Hugst!$R$4:$W$4,0))))</f>
        <v>0</v>
      </c>
      <c r="M111" s="168">
        <f ca="1">IF($C111-M$1&lt;År1,0,L110*(1-VLOOKUP($A111,[1]Hugst!$R$5:$W$9,MATCH(ROUNDUP((M$1)/10,0)*10,[1]Hugst!$R$4:$W$4,0))))</f>
        <v>0</v>
      </c>
      <c r="N111" s="168">
        <f ca="1">IF($C111-N$1&lt;År1,0,M110*(1-VLOOKUP($A111,[1]Hugst!$R$5:$W$9,MATCH(ROUNDUP((N$1)/10,0)*10,[1]Hugst!$R$4:$W$4,0))))</f>
        <v>0</v>
      </c>
      <c r="O111" s="168">
        <f ca="1">IF($C111-O$1&lt;År1,0,N110*(1-VLOOKUP($A111,[1]Hugst!$R$5:$W$9,MATCH(ROUNDUP((O$1)/10,0)*10,[1]Hugst!$R$4:$W$4,0))))</f>
        <v>0</v>
      </c>
      <c r="P111" s="168">
        <f ca="1">IF($C111-P$1&lt;År1,0,O110*(1-VLOOKUP($A111,[1]Hugst!$R$5:$W$9,MATCH(ROUNDUP((P$1)/10,0)*10,[1]Hugst!$R$4:$W$4,0))))</f>
        <v>0</v>
      </c>
      <c r="Q111" s="168">
        <f ca="1">IF($C111-Q$1&lt;År1,0,P110*(1-VLOOKUP($A111,[1]Hugst!$R$5:$W$9,MATCH(ROUNDUP((Q$1)/10,0)*10,[1]Hugst!$R$4:$W$4,0))))</f>
        <v>0</v>
      </c>
      <c r="R111" s="168">
        <f ca="1">IF($C111-R$1&lt;År1,0,Q110*(1-VLOOKUP($A111,[1]Hugst!$R$5:$W$9,MATCH(ROUNDUP((R$1)/10,0)*10,[1]Hugst!$R$4:$W$4,0))))</f>
        <v>0</v>
      </c>
      <c r="S111" s="168">
        <f ca="1">IF($C111-S$1&lt;År1,0,R110*(1-VLOOKUP($A111,[1]Hugst!$R$5:$W$9,MATCH(ROUNDUP((S$1)/10,0)*10,[1]Hugst!$R$4:$W$4,0))))</f>
        <v>0</v>
      </c>
      <c r="T111" s="168">
        <f ca="1">IF($C111-T$1&lt;År1,0,S110*(1-VLOOKUP($A111,[1]Hugst!$R$5:$W$9,MATCH(ROUNDUP((T$1)/10,0)*10,[1]Hugst!$R$4:$W$4,0))))</f>
        <v>0</v>
      </c>
      <c r="U111" s="168">
        <f ca="1">IF($C111-U$1&lt;År1,0,T110*(1-VLOOKUP($A111,[1]Hugst!$R$5:$W$9,MATCH(ROUNDUP((U$1)/10,0)*10,[1]Hugst!$R$4:$W$4,0))))</f>
        <v>0</v>
      </c>
      <c r="V111" s="168">
        <f ca="1">IF($C111-V$1&lt;År1,0,U110*(1-VLOOKUP($A111,[1]Hugst!$R$5:$W$9,MATCH(ROUNDUP((V$1)/10,0)*10,[1]Hugst!$R$4:$W$4,0))))</f>
        <v>0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*VLOOKUP(A112,Skovbrug!$A$13:$D$17,IF('Skovbrug-alder'!C112&lt;=År2,3,4),FALSE)-IF(C112&gt;2020,SUM(INDEX($C$1:$D$311,MATCH(1,(2020=$C$1:$C$311)*(B112=$B$1:$B$311)*(A112=$A$1:$A$311),0),2):D111),0))</f>
        <v>0</v>
      </c>
      <c r="E112" s="168">
        <f t="shared" ca="1" si="2"/>
        <v>0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8">
        <f ca="1">IF($C112-G$1&lt;År1,0,F111*(1-VLOOKUP($A112,[1]Hugst!$R$5:$W$9,MATCH(ROUNDUP((G$1)/10,0)*10,[1]Hugst!$R$4:$W$4,0))))</f>
        <v>0</v>
      </c>
      <c r="H112" s="168">
        <f ca="1">IF($C112-H$1&lt;År1,0,G111*(1-VLOOKUP($A112,[1]Hugst!$R$5:$W$9,MATCH(ROUNDUP((H$1)/10,0)*10,[1]Hugst!$R$4:$W$4,0))))</f>
        <v>0</v>
      </c>
      <c r="I112" s="168">
        <f ca="1">IF($C112-I$1&lt;År1,0,H111*(1-VLOOKUP($A112,[1]Hugst!$R$5:$W$9,MATCH(ROUNDUP((I$1)/10,0)*10,[1]Hugst!$R$4:$W$4,0))))</f>
        <v>0</v>
      </c>
      <c r="J112" s="168">
        <f ca="1">IF($C112-J$1&lt;År1,0,I111*(1-VLOOKUP($A112,[1]Hugst!$R$5:$W$9,MATCH(ROUNDUP((J$1)/10,0)*10,[1]Hugst!$R$4:$W$4,0))))</f>
        <v>0</v>
      </c>
      <c r="K112" s="168">
        <f ca="1">IF($C112-K$1&lt;År1,0,J111*(1-VLOOKUP($A112,[1]Hugst!$R$5:$W$9,MATCH(ROUNDUP((K$1)/10,0)*10,[1]Hugst!$R$4:$W$4,0))))</f>
        <v>0</v>
      </c>
      <c r="L112" s="168">
        <f ca="1">IF($C112-L$1&lt;År1,0,K111*(1-VLOOKUP($A112,[1]Hugst!$R$5:$W$9,MATCH(ROUNDUP((L$1)/10,0)*10,[1]Hugst!$R$4:$W$4,0))))</f>
        <v>0</v>
      </c>
      <c r="M112" s="168">
        <f ca="1">IF($C112-M$1&lt;År1,0,L111*(1-VLOOKUP($A112,[1]Hugst!$R$5:$W$9,MATCH(ROUNDUP((M$1)/10,0)*10,[1]Hugst!$R$4:$W$4,0))))</f>
        <v>0</v>
      </c>
      <c r="N112" s="168">
        <f ca="1">IF($C112-N$1&lt;År1,0,M111*(1-VLOOKUP($A112,[1]Hugst!$R$5:$W$9,MATCH(ROUNDUP((N$1)/10,0)*10,[1]Hugst!$R$4:$W$4,0))))</f>
        <v>0</v>
      </c>
      <c r="O112" s="168">
        <f ca="1">IF($C112-O$1&lt;År1,0,N111*(1-VLOOKUP($A112,[1]Hugst!$R$5:$W$9,MATCH(ROUNDUP((O$1)/10,0)*10,[1]Hugst!$R$4:$W$4,0))))</f>
        <v>0</v>
      </c>
      <c r="P112" s="168">
        <f ca="1">IF($C112-P$1&lt;År1,0,O111*(1-VLOOKUP($A112,[1]Hugst!$R$5:$W$9,MATCH(ROUNDUP((P$1)/10,0)*10,[1]Hugst!$R$4:$W$4,0))))</f>
        <v>0</v>
      </c>
      <c r="Q112" s="168">
        <f ca="1">IF($C112-Q$1&lt;År1,0,P111*(1-VLOOKUP($A112,[1]Hugst!$R$5:$W$9,MATCH(ROUNDUP((Q$1)/10,0)*10,[1]Hugst!$R$4:$W$4,0))))</f>
        <v>0</v>
      </c>
      <c r="R112" s="168">
        <f ca="1">IF($C112-R$1&lt;År1,0,Q111*(1-VLOOKUP($A112,[1]Hugst!$R$5:$W$9,MATCH(ROUNDUP((R$1)/10,0)*10,[1]Hugst!$R$4:$W$4,0))))</f>
        <v>0</v>
      </c>
      <c r="S112" s="168">
        <f ca="1">IF($C112-S$1&lt;År1,0,R111*(1-VLOOKUP($A112,[1]Hugst!$R$5:$W$9,MATCH(ROUNDUP((S$1)/10,0)*10,[1]Hugst!$R$4:$W$4,0))))</f>
        <v>0</v>
      </c>
      <c r="T112" s="168">
        <f ca="1">IF($C112-T$1&lt;År1,0,S111*(1-VLOOKUP($A112,[1]Hugst!$R$5:$W$9,MATCH(ROUNDUP((T$1)/10,0)*10,[1]Hugst!$R$4:$W$4,0))))</f>
        <v>0</v>
      </c>
      <c r="U112" s="168">
        <f ca="1">IF($C112-U$1&lt;År1,0,T111*(1-VLOOKUP($A112,[1]Hugst!$R$5:$W$9,MATCH(ROUNDUP((U$1)/10,0)*10,[1]Hugst!$R$4:$W$4,0))))</f>
        <v>0</v>
      </c>
      <c r="V112" s="168">
        <f ca="1">IF($C112-V$1&lt;År1,0,U111*(1-VLOOKUP($A112,[1]Hugst!$R$5:$W$9,MATCH(ROUNDUP((V$1)/10,0)*10,[1]Hugst!$R$4:$W$4,0))))</f>
        <v>0</v>
      </c>
      <c r="W112" s="168">
        <f ca="1">IF($C112-W$1&lt;År1,0,V111*(1-VLOOKUP($A112,[1]Hugst!$R$5:$W$9,MATCH(ROUNDUP((W$1)/10,0)*10,[1]Hugst!$R$4:$W$4,0))))</f>
        <v>0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*VLOOKUP(A113,Skovbrug!$A$13:$D$17,IF('Skovbrug-alder'!C113&lt;=År2,3,4),FALSE)-IF(C113&gt;2020,SUM(INDEX($C$1:$D$311,MATCH(1,(2020=$C$1:$C$311)*(B113=$B$1:$B$311)*(A113=$A$1:$A$311),0),2):D112),0))</f>
        <v>0</v>
      </c>
      <c r="E113" s="168">
        <f t="shared" ca="1" si="2"/>
        <v>0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8">
        <f ca="1">IF($C113-G$1&lt;År1,0,F112*(1-VLOOKUP($A113,[1]Hugst!$R$5:$W$9,MATCH(ROUNDUP((G$1)/10,0)*10,[1]Hugst!$R$4:$W$4,0))))</f>
        <v>0</v>
      </c>
      <c r="H113" s="168">
        <f ca="1">IF($C113-H$1&lt;År1,0,G112*(1-VLOOKUP($A113,[1]Hugst!$R$5:$W$9,MATCH(ROUNDUP((H$1)/10,0)*10,[1]Hugst!$R$4:$W$4,0))))</f>
        <v>0</v>
      </c>
      <c r="I113" s="168">
        <f ca="1">IF($C113-I$1&lt;År1,0,H112*(1-VLOOKUP($A113,[1]Hugst!$R$5:$W$9,MATCH(ROUNDUP((I$1)/10,0)*10,[1]Hugst!$R$4:$W$4,0))))</f>
        <v>0</v>
      </c>
      <c r="J113" s="168">
        <f ca="1">IF($C113-J$1&lt;År1,0,I112*(1-VLOOKUP($A113,[1]Hugst!$R$5:$W$9,MATCH(ROUNDUP((J$1)/10,0)*10,[1]Hugst!$R$4:$W$4,0))))</f>
        <v>0</v>
      </c>
      <c r="K113" s="168">
        <f ca="1">IF($C113-K$1&lt;År1,0,J112*(1-VLOOKUP($A113,[1]Hugst!$R$5:$W$9,MATCH(ROUNDUP((K$1)/10,0)*10,[1]Hugst!$R$4:$W$4,0))))</f>
        <v>0</v>
      </c>
      <c r="L113" s="168">
        <f ca="1">IF($C113-L$1&lt;År1,0,K112*(1-VLOOKUP($A113,[1]Hugst!$R$5:$W$9,MATCH(ROUNDUP((L$1)/10,0)*10,[1]Hugst!$R$4:$W$4,0))))</f>
        <v>0</v>
      </c>
      <c r="M113" s="168">
        <f ca="1">IF($C113-M$1&lt;År1,0,L112*(1-VLOOKUP($A113,[1]Hugst!$R$5:$W$9,MATCH(ROUNDUP((M$1)/10,0)*10,[1]Hugst!$R$4:$W$4,0))))</f>
        <v>0</v>
      </c>
      <c r="N113" s="168">
        <f ca="1">IF($C113-N$1&lt;År1,0,M112*(1-VLOOKUP($A113,[1]Hugst!$R$5:$W$9,MATCH(ROUNDUP((N$1)/10,0)*10,[1]Hugst!$R$4:$W$4,0))))</f>
        <v>0</v>
      </c>
      <c r="O113" s="168">
        <f ca="1">IF($C113-O$1&lt;År1,0,N112*(1-VLOOKUP($A113,[1]Hugst!$R$5:$W$9,MATCH(ROUNDUP((O$1)/10,0)*10,[1]Hugst!$R$4:$W$4,0))))</f>
        <v>0</v>
      </c>
      <c r="P113" s="168">
        <f ca="1">IF($C113-P$1&lt;År1,0,O112*(1-VLOOKUP($A113,[1]Hugst!$R$5:$W$9,MATCH(ROUNDUP((P$1)/10,0)*10,[1]Hugst!$R$4:$W$4,0))))</f>
        <v>0</v>
      </c>
      <c r="Q113" s="168">
        <f ca="1">IF($C113-Q$1&lt;År1,0,P112*(1-VLOOKUP($A113,[1]Hugst!$R$5:$W$9,MATCH(ROUNDUP((Q$1)/10,0)*10,[1]Hugst!$R$4:$W$4,0))))</f>
        <v>0</v>
      </c>
      <c r="R113" s="168">
        <f ca="1">IF($C113-R$1&lt;År1,0,Q112*(1-VLOOKUP($A113,[1]Hugst!$R$5:$W$9,MATCH(ROUNDUP((R$1)/10,0)*10,[1]Hugst!$R$4:$W$4,0))))</f>
        <v>0</v>
      </c>
      <c r="S113" s="168">
        <f ca="1">IF($C113-S$1&lt;År1,0,R112*(1-VLOOKUP($A113,[1]Hugst!$R$5:$W$9,MATCH(ROUNDUP((S$1)/10,0)*10,[1]Hugst!$R$4:$W$4,0))))</f>
        <v>0</v>
      </c>
      <c r="T113" s="168">
        <f ca="1">IF($C113-T$1&lt;År1,0,S112*(1-VLOOKUP($A113,[1]Hugst!$R$5:$W$9,MATCH(ROUNDUP((T$1)/10,0)*10,[1]Hugst!$R$4:$W$4,0))))</f>
        <v>0</v>
      </c>
      <c r="U113" s="168">
        <f ca="1">IF($C113-U$1&lt;År1,0,T112*(1-VLOOKUP($A113,[1]Hugst!$R$5:$W$9,MATCH(ROUNDUP((U$1)/10,0)*10,[1]Hugst!$R$4:$W$4,0))))</f>
        <v>0</v>
      </c>
      <c r="V113" s="168">
        <f ca="1">IF($C113-V$1&lt;År1,0,U112*(1-VLOOKUP($A113,[1]Hugst!$R$5:$W$9,MATCH(ROUNDUP((V$1)/10,0)*10,[1]Hugst!$R$4:$W$4,0))))</f>
        <v>0</v>
      </c>
      <c r="W113" s="168">
        <f ca="1">IF($C113-W$1&lt;År1,0,V112*(1-VLOOKUP($A113,[1]Hugst!$R$5:$W$9,MATCH(ROUNDUP((W$1)/10,0)*10,[1]Hugst!$R$4:$W$4,0))))</f>
        <v>0</v>
      </c>
      <c r="X113" s="168">
        <f ca="1">IF($C113-X$1&lt;År1,0,W112*(1-VLOOKUP($A113,[1]Hugst!$R$5:$W$9,MATCH(ROUNDUP((X$1)/10,0)*10,[1]Hugst!$R$4:$W$4,0))))</f>
        <v>0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*VLOOKUP(A114,Skovbrug!$A$13:$D$17,IF('Skovbrug-alder'!C114&lt;=År2,3,4),FALSE)-IF(C114&gt;2020,SUM(INDEX($C$1:$D$311,MATCH(1,(2020=$C$1:$C$311)*(B114=$B$1:$B$311)*(A114=$A$1:$A$311),0),2):D113),0))</f>
        <v>0</v>
      </c>
      <c r="E114" s="168">
        <f t="shared" ca="1" si="2"/>
        <v>0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8">
        <f ca="1">IF($C114-G$1&lt;År1,0,F113*(1-VLOOKUP($A114,[1]Hugst!$R$5:$W$9,MATCH(ROUNDUP((G$1)/10,0)*10,[1]Hugst!$R$4:$W$4,0))))</f>
        <v>0</v>
      </c>
      <c r="H114" s="168">
        <f ca="1">IF($C114-H$1&lt;År1,0,G113*(1-VLOOKUP($A114,[1]Hugst!$R$5:$W$9,MATCH(ROUNDUP((H$1)/10,0)*10,[1]Hugst!$R$4:$W$4,0))))</f>
        <v>0</v>
      </c>
      <c r="I114" s="168">
        <f ca="1">IF($C114-I$1&lt;År1,0,H113*(1-VLOOKUP($A114,[1]Hugst!$R$5:$W$9,MATCH(ROUNDUP((I$1)/10,0)*10,[1]Hugst!$R$4:$W$4,0))))</f>
        <v>0</v>
      </c>
      <c r="J114" s="168">
        <f ca="1">IF($C114-J$1&lt;År1,0,I113*(1-VLOOKUP($A114,[1]Hugst!$R$5:$W$9,MATCH(ROUNDUP((J$1)/10,0)*10,[1]Hugst!$R$4:$W$4,0))))</f>
        <v>0</v>
      </c>
      <c r="K114" s="168">
        <f ca="1">IF($C114-K$1&lt;År1,0,J113*(1-VLOOKUP($A114,[1]Hugst!$R$5:$W$9,MATCH(ROUNDUP((K$1)/10,0)*10,[1]Hugst!$R$4:$W$4,0))))</f>
        <v>0</v>
      </c>
      <c r="L114" s="168">
        <f ca="1">IF($C114-L$1&lt;År1,0,K113*(1-VLOOKUP($A114,[1]Hugst!$R$5:$W$9,MATCH(ROUNDUP((L$1)/10,0)*10,[1]Hugst!$R$4:$W$4,0))))</f>
        <v>0</v>
      </c>
      <c r="M114" s="168">
        <f ca="1">IF($C114-M$1&lt;År1,0,L113*(1-VLOOKUP($A114,[1]Hugst!$R$5:$W$9,MATCH(ROUNDUP((M$1)/10,0)*10,[1]Hugst!$R$4:$W$4,0))))</f>
        <v>0</v>
      </c>
      <c r="N114" s="168">
        <f ca="1">IF($C114-N$1&lt;År1,0,M113*(1-VLOOKUP($A114,[1]Hugst!$R$5:$W$9,MATCH(ROUNDUP((N$1)/10,0)*10,[1]Hugst!$R$4:$W$4,0))))</f>
        <v>0</v>
      </c>
      <c r="O114" s="168">
        <f ca="1">IF($C114-O$1&lt;År1,0,N113*(1-VLOOKUP($A114,[1]Hugst!$R$5:$W$9,MATCH(ROUNDUP((O$1)/10,0)*10,[1]Hugst!$R$4:$W$4,0))))</f>
        <v>0</v>
      </c>
      <c r="P114" s="168">
        <f ca="1">IF($C114-P$1&lt;År1,0,O113*(1-VLOOKUP($A114,[1]Hugst!$R$5:$W$9,MATCH(ROUNDUP((P$1)/10,0)*10,[1]Hugst!$R$4:$W$4,0))))</f>
        <v>0</v>
      </c>
      <c r="Q114" s="168">
        <f ca="1">IF($C114-Q$1&lt;År1,0,P113*(1-VLOOKUP($A114,[1]Hugst!$R$5:$W$9,MATCH(ROUNDUP((Q$1)/10,0)*10,[1]Hugst!$R$4:$W$4,0))))</f>
        <v>0</v>
      </c>
      <c r="R114" s="168">
        <f ca="1">IF($C114-R$1&lt;År1,0,Q113*(1-VLOOKUP($A114,[1]Hugst!$R$5:$W$9,MATCH(ROUNDUP((R$1)/10,0)*10,[1]Hugst!$R$4:$W$4,0))))</f>
        <v>0</v>
      </c>
      <c r="S114" s="168">
        <f ca="1">IF($C114-S$1&lt;År1,0,R113*(1-VLOOKUP($A114,[1]Hugst!$R$5:$W$9,MATCH(ROUNDUP((S$1)/10,0)*10,[1]Hugst!$R$4:$W$4,0))))</f>
        <v>0</v>
      </c>
      <c r="T114" s="168">
        <f ca="1">IF($C114-T$1&lt;År1,0,S113*(1-VLOOKUP($A114,[1]Hugst!$R$5:$W$9,MATCH(ROUNDUP((T$1)/10,0)*10,[1]Hugst!$R$4:$W$4,0))))</f>
        <v>0</v>
      </c>
      <c r="U114" s="168">
        <f ca="1">IF($C114-U$1&lt;År1,0,T113*(1-VLOOKUP($A114,[1]Hugst!$R$5:$W$9,MATCH(ROUNDUP((U$1)/10,0)*10,[1]Hugst!$R$4:$W$4,0))))</f>
        <v>0</v>
      </c>
      <c r="V114" s="168">
        <f ca="1">IF($C114-V$1&lt;År1,0,U113*(1-VLOOKUP($A114,[1]Hugst!$R$5:$W$9,MATCH(ROUNDUP((V$1)/10,0)*10,[1]Hugst!$R$4:$W$4,0))))</f>
        <v>0</v>
      </c>
      <c r="W114" s="168">
        <f ca="1">IF($C114-W$1&lt;År1,0,V113*(1-VLOOKUP($A114,[1]Hugst!$R$5:$W$9,MATCH(ROUNDUP((W$1)/10,0)*10,[1]Hugst!$R$4:$W$4,0))))</f>
        <v>0</v>
      </c>
      <c r="X114" s="168">
        <f ca="1">IF($C114-X$1&lt;År1,0,W113*(1-VLOOKUP($A114,[1]Hugst!$R$5:$W$9,MATCH(ROUNDUP((X$1)/10,0)*10,[1]Hugst!$R$4:$W$4,0))))</f>
        <v>0</v>
      </c>
      <c r="Y114" s="168">
        <f ca="1">IF($C114-Y$1&lt;År1,0,X113*(1-VLOOKUP($A114,[1]Hugst!$R$5:$W$9,MATCH(ROUNDUP((Y$1)/10,0)*10,[1]Hugst!$R$4:$W$4,0))))</f>
        <v>0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*VLOOKUP(A115,Skovbrug!$A$13:$D$17,IF('Skovbrug-alder'!C115&lt;=År2,3,4),FALSE)-IF(C115&gt;2020,SUM(INDEX($C$1:$D$311,MATCH(1,(2020=$C$1:$C$311)*(B115=$B$1:$B$311)*(A115=$A$1:$A$311),0),2):D114),0))</f>
        <v>0</v>
      </c>
      <c r="E115" s="168">
        <f t="shared" ca="1" si="2"/>
        <v>0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8">
        <f ca="1">IF($C115-G$1&lt;År1,0,F114*(1-VLOOKUP($A115,[1]Hugst!$R$5:$W$9,MATCH(ROUNDUP((G$1)/10,0)*10,[1]Hugst!$R$4:$W$4,0))))</f>
        <v>0</v>
      </c>
      <c r="H115" s="168">
        <f ca="1">IF($C115-H$1&lt;År1,0,G114*(1-VLOOKUP($A115,[1]Hugst!$R$5:$W$9,MATCH(ROUNDUP((H$1)/10,0)*10,[1]Hugst!$R$4:$W$4,0))))</f>
        <v>0</v>
      </c>
      <c r="I115" s="168">
        <f ca="1">IF($C115-I$1&lt;År1,0,H114*(1-VLOOKUP($A115,[1]Hugst!$R$5:$W$9,MATCH(ROUNDUP((I$1)/10,0)*10,[1]Hugst!$R$4:$W$4,0))))</f>
        <v>0</v>
      </c>
      <c r="J115" s="168">
        <f ca="1">IF($C115-J$1&lt;År1,0,I114*(1-VLOOKUP($A115,[1]Hugst!$R$5:$W$9,MATCH(ROUNDUP((J$1)/10,0)*10,[1]Hugst!$R$4:$W$4,0))))</f>
        <v>0</v>
      </c>
      <c r="K115" s="168">
        <f ca="1">IF($C115-K$1&lt;År1,0,J114*(1-VLOOKUP($A115,[1]Hugst!$R$5:$W$9,MATCH(ROUNDUP((K$1)/10,0)*10,[1]Hugst!$R$4:$W$4,0))))</f>
        <v>0</v>
      </c>
      <c r="L115" s="168">
        <f ca="1">IF($C115-L$1&lt;År1,0,K114*(1-VLOOKUP($A115,[1]Hugst!$R$5:$W$9,MATCH(ROUNDUP((L$1)/10,0)*10,[1]Hugst!$R$4:$W$4,0))))</f>
        <v>0</v>
      </c>
      <c r="M115" s="168">
        <f ca="1">IF($C115-M$1&lt;År1,0,L114*(1-VLOOKUP($A115,[1]Hugst!$R$5:$W$9,MATCH(ROUNDUP((M$1)/10,0)*10,[1]Hugst!$R$4:$W$4,0))))</f>
        <v>0</v>
      </c>
      <c r="N115" s="168">
        <f ca="1">IF($C115-N$1&lt;År1,0,M114*(1-VLOOKUP($A115,[1]Hugst!$R$5:$W$9,MATCH(ROUNDUP((N$1)/10,0)*10,[1]Hugst!$R$4:$W$4,0))))</f>
        <v>0</v>
      </c>
      <c r="O115" s="168">
        <f ca="1">IF($C115-O$1&lt;År1,0,N114*(1-VLOOKUP($A115,[1]Hugst!$R$5:$W$9,MATCH(ROUNDUP((O$1)/10,0)*10,[1]Hugst!$R$4:$W$4,0))))</f>
        <v>0</v>
      </c>
      <c r="P115" s="168">
        <f ca="1">IF($C115-P$1&lt;År1,0,O114*(1-VLOOKUP($A115,[1]Hugst!$R$5:$W$9,MATCH(ROUNDUP((P$1)/10,0)*10,[1]Hugst!$R$4:$W$4,0))))</f>
        <v>0</v>
      </c>
      <c r="Q115" s="168">
        <f ca="1">IF($C115-Q$1&lt;År1,0,P114*(1-VLOOKUP($A115,[1]Hugst!$R$5:$W$9,MATCH(ROUNDUP((Q$1)/10,0)*10,[1]Hugst!$R$4:$W$4,0))))</f>
        <v>0</v>
      </c>
      <c r="R115" s="168">
        <f ca="1">IF($C115-R$1&lt;År1,0,Q114*(1-VLOOKUP($A115,[1]Hugst!$R$5:$W$9,MATCH(ROUNDUP((R$1)/10,0)*10,[1]Hugst!$R$4:$W$4,0))))</f>
        <v>0</v>
      </c>
      <c r="S115" s="168">
        <f ca="1">IF($C115-S$1&lt;År1,0,R114*(1-VLOOKUP($A115,[1]Hugst!$R$5:$W$9,MATCH(ROUNDUP((S$1)/10,0)*10,[1]Hugst!$R$4:$W$4,0))))</f>
        <v>0</v>
      </c>
      <c r="T115" s="168">
        <f ca="1">IF($C115-T$1&lt;År1,0,S114*(1-VLOOKUP($A115,[1]Hugst!$R$5:$W$9,MATCH(ROUNDUP((T$1)/10,0)*10,[1]Hugst!$R$4:$W$4,0))))</f>
        <v>0</v>
      </c>
      <c r="U115" s="168">
        <f ca="1">IF($C115-U$1&lt;År1,0,T114*(1-VLOOKUP($A115,[1]Hugst!$R$5:$W$9,MATCH(ROUNDUP((U$1)/10,0)*10,[1]Hugst!$R$4:$W$4,0))))</f>
        <v>0</v>
      </c>
      <c r="V115" s="168">
        <f ca="1">IF($C115-V$1&lt;År1,0,U114*(1-VLOOKUP($A115,[1]Hugst!$R$5:$W$9,MATCH(ROUNDUP((V$1)/10,0)*10,[1]Hugst!$R$4:$W$4,0))))</f>
        <v>0</v>
      </c>
      <c r="W115" s="168">
        <f ca="1">IF($C115-W$1&lt;År1,0,V114*(1-VLOOKUP($A115,[1]Hugst!$R$5:$W$9,MATCH(ROUNDUP((W$1)/10,0)*10,[1]Hugst!$R$4:$W$4,0))))</f>
        <v>0</v>
      </c>
      <c r="X115" s="168">
        <f ca="1">IF($C115-X$1&lt;År1,0,W114*(1-VLOOKUP($A115,[1]Hugst!$R$5:$W$9,MATCH(ROUNDUP((X$1)/10,0)*10,[1]Hugst!$R$4:$W$4,0))))</f>
        <v>0</v>
      </c>
      <c r="Y115" s="168">
        <f ca="1">IF($C115-Y$1&lt;År1,0,X114*(1-VLOOKUP($A115,[1]Hugst!$R$5:$W$9,MATCH(ROUNDUP((Y$1)/10,0)*10,[1]Hugst!$R$4:$W$4,0))))</f>
        <v>0</v>
      </c>
      <c r="Z115" s="168">
        <f ca="1">IF($C115-Z$1&lt;År1,0,Y114*(1-VLOOKUP($A115,[1]Hugst!$R$5:$W$9,MATCH(ROUNDUP((Z$1)/10,0)*10,[1]Hugst!$R$4:$W$4,0))))</f>
        <v>0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*VLOOKUP(A116,Skovbrug!$A$13:$D$17,IF('Skovbrug-alder'!C116&lt;=År2,3,4),FALSE)-IF(C116&gt;2020,SUM(INDEX($C$1:$D$311,MATCH(1,(2020=$C$1:$C$311)*(B116=$B$1:$B$311)*(A116=$A$1:$A$311),0),2):D115),0))</f>
        <v>0</v>
      </c>
      <c r="E116" s="168">
        <f t="shared" ca="1" si="2"/>
        <v>0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8">
        <f ca="1">IF($C116-G$1&lt;År1,0,F115*(1-VLOOKUP($A116,[1]Hugst!$R$5:$W$9,MATCH(ROUNDUP((G$1)/10,0)*10,[1]Hugst!$R$4:$W$4,0))))</f>
        <v>0</v>
      </c>
      <c r="H116" s="168">
        <f ca="1">IF($C116-H$1&lt;År1,0,G115*(1-VLOOKUP($A116,[1]Hugst!$R$5:$W$9,MATCH(ROUNDUP((H$1)/10,0)*10,[1]Hugst!$R$4:$W$4,0))))</f>
        <v>0</v>
      </c>
      <c r="I116" s="168">
        <f ca="1">IF($C116-I$1&lt;År1,0,H115*(1-VLOOKUP($A116,[1]Hugst!$R$5:$W$9,MATCH(ROUNDUP((I$1)/10,0)*10,[1]Hugst!$R$4:$W$4,0))))</f>
        <v>0</v>
      </c>
      <c r="J116" s="168">
        <f ca="1">IF($C116-J$1&lt;År1,0,I115*(1-VLOOKUP($A116,[1]Hugst!$R$5:$W$9,MATCH(ROUNDUP((J$1)/10,0)*10,[1]Hugst!$R$4:$W$4,0))))</f>
        <v>0</v>
      </c>
      <c r="K116" s="168">
        <f ca="1">IF($C116-K$1&lt;År1,0,J115*(1-VLOOKUP($A116,[1]Hugst!$R$5:$W$9,MATCH(ROUNDUP((K$1)/10,0)*10,[1]Hugst!$R$4:$W$4,0))))</f>
        <v>0</v>
      </c>
      <c r="L116" s="168">
        <f ca="1">IF($C116-L$1&lt;År1,0,K115*(1-VLOOKUP($A116,[1]Hugst!$R$5:$W$9,MATCH(ROUNDUP((L$1)/10,0)*10,[1]Hugst!$R$4:$W$4,0))))</f>
        <v>0</v>
      </c>
      <c r="M116" s="168">
        <f ca="1">IF($C116-M$1&lt;År1,0,L115*(1-VLOOKUP($A116,[1]Hugst!$R$5:$W$9,MATCH(ROUNDUP((M$1)/10,0)*10,[1]Hugst!$R$4:$W$4,0))))</f>
        <v>0</v>
      </c>
      <c r="N116" s="168">
        <f ca="1">IF($C116-N$1&lt;År1,0,M115*(1-VLOOKUP($A116,[1]Hugst!$R$5:$W$9,MATCH(ROUNDUP((N$1)/10,0)*10,[1]Hugst!$R$4:$W$4,0))))</f>
        <v>0</v>
      </c>
      <c r="O116" s="168">
        <f ca="1">IF($C116-O$1&lt;År1,0,N115*(1-VLOOKUP($A116,[1]Hugst!$R$5:$W$9,MATCH(ROUNDUP((O$1)/10,0)*10,[1]Hugst!$R$4:$W$4,0))))</f>
        <v>0</v>
      </c>
      <c r="P116" s="168">
        <f ca="1">IF($C116-P$1&lt;År1,0,O115*(1-VLOOKUP($A116,[1]Hugst!$R$5:$W$9,MATCH(ROUNDUP((P$1)/10,0)*10,[1]Hugst!$R$4:$W$4,0))))</f>
        <v>0</v>
      </c>
      <c r="Q116" s="168">
        <f ca="1">IF($C116-Q$1&lt;År1,0,P115*(1-VLOOKUP($A116,[1]Hugst!$R$5:$W$9,MATCH(ROUNDUP((Q$1)/10,0)*10,[1]Hugst!$R$4:$W$4,0))))</f>
        <v>0</v>
      </c>
      <c r="R116" s="168">
        <f ca="1">IF($C116-R$1&lt;År1,0,Q115*(1-VLOOKUP($A116,[1]Hugst!$R$5:$W$9,MATCH(ROUNDUP((R$1)/10,0)*10,[1]Hugst!$R$4:$W$4,0))))</f>
        <v>0</v>
      </c>
      <c r="S116" s="168">
        <f ca="1">IF($C116-S$1&lt;År1,0,R115*(1-VLOOKUP($A116,[1]Hugst!$R$5:$W$9,MATCH(ROUNDUP((S$1)/10,0)*10,[1]Hugst!$R$4:$W$4,0))))</f>
        <v>0</v>
      </c>
      <c r="T116" s="168">
        <f ca="1">IF($C116-T$1&lt;År1,0,S115*(1-VLOOKUP($A116,[1]Hugst!$R$5:$W$9,MATCH(ROUNDUP((T$1)/10,0)*10,[1]Hugst!$R$4:$W$4,0))))</f>
        <v>0</v>
      </c>
      <c r="U116" s="168">
        <f ca="1">IF($C116-U$1&lt;År1,0,T115*(1-VLOOKUP($A116,[1]Hugst!$R$5:$W$9,MATCH(ROUNDUP((U$1)/10,0)*10,[1]Hugst!$R$4:$W$4,0))))</f>
        <v>0</v>
      </c>
      <c r="V116" s="168">
        <f ca="1">IF($C116-V$1&lt;År1,0,U115*(1-VLOOKUP($A116,[1]Hugst!$R$5:$W$9,MATCH(ROUNDUP((V$1)/10,0)*10,[1]Hugst!$R$4:$W$4,0))))</f>
        <v>0</v>
      </c>
      <c r="W116" s="168">
        <f ca="1">IF($C116-W$1&lt;År1,0,V115*(1-VLOOKUP($A116,[1]Hugst!$R$5:$W$9,MATCH(ROUNDUP((W$1)/10,0)*10,[1]Hugst!$R$4:$W$4,0))))</f>
        <v>0</v>
      </c>
      <c r="X116" s="168">
        <f ca="1">IF($C116-X$1&lt;År1,0,W115*(1-VLOOKUP($A116,[1]Hugst!$R$5:$W$9,MATCH(ROUNDUP((X$1)/10,0)*10,[1]Hugst!$R$4:$W$4,0))))</f>
        <v>0</v>
      </c>
      <c r="Y116" s="168">
        <f ca="1">IF($C116-Y$1&lt;År1,0,X115*(1-VLOOKUP($A116,[1]Hugst!$R$5:$W$9,MATCH(ROUNDUP((Y$1)/10,0)*10,[1]Hugst!$R$4:$W$4,0))))</f>
        <v>0</v>
      </c>
      <c r="Z116" s="168">
        <f ca="1">IF($C116-Z$1&lt;År1,0,Y115*(1-VLOOKUP($A116,[1]Hugst!$R$5:$W$9,MATCH(ROUNDUP((Z$1)/10,0)*10,[1]Hugst!$R$4:$W$4,0))))</f>
        <v>0</v>
      </c>
      <c r="AA116" s="168">
        <f ca="1">IF($C116-AA$1&lt;År1,0,Z115*(1-VLOOKUP($A116,[1]Hugst!$R$5:$W$9,MATCH(ROUNDUP((AA$1)/10,0)*10,[1]Hugst!$R$4:$W$4,0))))</f>
        <v>0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*VLOOKUP(A117,Skovbrug!$A$13:$D$17,IF('Skovbrug-alder'!C117&lt;=År2,3,4),FALSE)-IF(C117&gt;2020,SUM(INDEX($C$1:$D$311,MATCH(1,(2020=$C$1:$C$311)*(B117=$B$1:$B$311)*(A117=$A$1:$A$311),0),2):D116),0))</f>
        <v>0</v>
      </c>
      <c r="E117" s="168">
        <f t="shared" ca="1" si="2"/>
        <v>0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8">
        <f ca="1">IF($C117-G$1&lt;År1,0,F116*(1-VLOOKUP($A117,[1]Hugst!$R$5:$W$9,MATCH(ROUNDUP((G$1)/10,0)*10,[1]Hugst!$R$4:$W$4,0))))</f>
        <v>0</v>
      </c>
      <c r="H117" s="168">
        <f ca="1">IF($C117-H$1&lt;År1,0,G116*(1-VLOOKUP($A117,[1]Hugst!$R$5:$W$9,MATCH(ROUNDUP((H$1)/10,0)*10,[1]Hugst!$R$4:$W$4,0))))</f>
        <v>0</v>
      </c>
      <c r="I117" s="168">
        <f ca="1">IF($C117-I$1&lt;År1,0,H116*(1-VLOOKUP($A117,[1]Hugst!$R$5:$W$9,MATCH(ROUNDUP((I$1)/10,0)*10,[1]Hugst!$R$4:$W$4,0))))</f>
        <v>0</v>
      </c>
      <c r="J117" s="168">
        <f ca="1">IF($C117-J$1&lt;År1,0,I116*(1-VLOOKUP($A117,[1]Hugst!$R$5:$W$9,MATCH(ROUNDUP((J$1)/10,0)*10,[1]Hugst!$R$4:$W$4,0))))</f>
        <v>0</v>
      </c>
      <c r="K117" s="168">
        <f ca="1">IF($C117-K$1&lt;År1,0,J116*(1-VLOOKUP($A117,[1]Hugst!$R$5:$W$9,MATCH(ROUNDUP((K$1)/10,0)*10,[1]Hugst!$R$4:$W$4,0))))</f>
        <v>0</v>
      </c>
      <c r="L117" s="168">
        <f ca="1">IF($C117-L$1&lt;År1,0,K116*(1-VLOOKUP($A117,[1]Hugst!$R$5:$W$9,MATCH(ROUNDUP((L$1)/10,0)*10,[1]Hugst!$R$4:$W$4,0))))</f>
        <v>0</v>
      </c>
      <c r="M117" s="168">
        <f ca="1">IF($C117-M$1&lt;År1,0,L116*(1-VLOOKUP($A117,[1]Hugst!$R$5:$W$9,MATCH(ROUNDUP((M$1)/10,0)*10,[1]Hugst!$R$4:$W$4,0))))</f>
        <v>0</v>
      </c>
      <c r="N117" s="168">
        <f ca="1">IF($C117-N$1&lt;År1,0,M116*(1-VLOOKUP($A117,[1]Hugst!$R$5:$W$9,MATCH(ROUNDUP((N$1)/10,0)*10,[1]Hugst!$R$4:$W$4,0))))</f>
        <v>0</v>
      </c>
      <c r="O117" s="168">
        <f ca="1">IF($C117-O$1&lt;År1,0,N116*(1-VLOOKUP($A117,[1]Hugst!$R$5:$W$9,MATCH(ROUNDUP((O$1)/10,0)*10,[1]Hugst!$R$4:$W$4,0))))</f>
        <v>0</v>
      </c>
      <c r="P117" s="168">
        <f ca="1">IF($C117-P$1&lt;År1,0,O116*(1-VLOOKUP($A117,[1]Hugst!$R$5:$W$9,MATCH(ROUNDUP((P$1)/10,0)*10,[1]Hugst!$R$4:$W$4,0))))</f>
        <v>0</v>
      </c>
      <c r="Q117" s="168">
        <f ca="1">IF($C117-Q$1&lt;År1,0,P116*(1-VLOOKUP($A117,[1]Hugst!$R$5:$W$9,MATCH(ROUNDUP((Q$1)/10,0)*10,[1]Hugst!$R$4:$W$4,0))))</f>
        <v>0</v>
      </c>
      <c r="R117" s="168">
        <f ca="1">IF($C117-R$1&lt;År1,0,Q116*(1-VLOOKUP($A117,[1]Hugst!$R$5:$W$9,MATCH(ROUNDUP((R$1)/10,0)*10,[1]Hugst!$R$4:$W$4,0))))</f>
        <v>0</v>
      </c>
      <c r="S117" s="168">
        <f ca="1">IF($C117-S$1&lt;År1,0,R116*(1-VLOOKUP($A117,[1]Hugst!$R$5:$W$9,MATCH(ROUNDUP((S$1)/10,0)*10,[1]Hugst!$R$4:$W$4,0))))</f>
        <v>0</v>
      </c>
      <c r="T117" s="168">
        <f ca="1">IF($C117-T$1&lt;År1,0,S116*(1-VLOOKUP($A117,[1]Hugst!$R$5:$W$9,MATCH(ROUNDUP((T$1)/10,0)*10,[1]Hugst!$R$4:$W$4,0))))</f>
        <v>0</v>
      </c>
      <c r="U117" s="168">
        <f ca="1">IF($C117-U$1&lt;År1,0,T116*(1-VLOOKUP($A117,[1]Hugst!$R$5:$W$9,MATCH(ROUNDUP((U$1)/10,0)*10,[1]Hugst!$R$4:$W$4,0))))</f>
        <v>0</v>
      </c>
      <c r="V117" s="168">
        <f ca="1">IF($C117-V$1&lt;År1,0,U116*(1-VLOOKUP($A117,[1]Hugst!$R$5:$W$9,MATCH(ROUNDUP((V$1)/10,0)*10,[1]Hugst!$R$4:$W$4,0))))</f>
        <v>0</v>
      </c>
      <c r="W117" s="168">
        <f ca="1">IF($C117-W$1&lt;År1,0,V116*(1-VLOOKUP($A117,[1]Hugst!$R$5:$W$9,MATCH(ROUNDUP((W$1)/10,0)*10,[1]Hugst!$R$4:$W$4,0))))</f>
        <v>0</v>
      </c>
      <c r="X117" s="168">
        <f ca="1">IF($C117-X$1&lt;År1,0,W116*(1-VLOOKUP($A117,[1]Hugst!$R$5:$W$9,MATCH(ROUNDUP((X$1)/10,0)*10,[1]Hugst!$R$4:$W$4,0))))</f>
        <v>0</v>
      </c>
      <c r="Y117" s="168">
        <f ca="1">IF($C117-Y$1&lt;År1,0,X116*(1-VLOOKUP($A117,[1]Hugst!$R$5:$W$9,MATCH(ROUNDUP((Y$1)/10,0)*10,[1]Hugst!$R$4:$W$4,0))))</f>
        <v>0</v>
      </c>
      <c r="Z117" s="168">
        <f ca="1">IF($C117-Z$1&lt;År1,0,Y116*(1-VLOOKUP($A117,[1]Hugst!$R$5:$W$9,MATCH(ROUNDUP((Z$1)/10,0)*10,[1]Hugst!$R$4:$W$4,0))))</f>
        <v>0</v>
      </c>
      <c r="AA117" s="168">
        <f ca="1">IF($C117-AA$1&lt;År1,0,Z116*(1-VLOOKUP($A117,[1]Hugst!$R$5:$W$9,MATCH(ROUNDUP((AA$1)/10,0)*10,[1]Hugst!$R$4:$W$4,0))))</f>
        <v>0</v>
      </c>
      <c r="AB117" s="168">
        <f ca="1">IF($C117-AB$1&lt;År1,0,AA116*(1-VLOOKUP($A117,[1]Hugst!$R$5:$W$9,MATCH(ROUNDUP((AB$1)/10,0)*10,[1]Hugst!$R$4:$W$4,0))))</f>
        <v>0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*VLOOKUP(A118,Skovbrug!$A$13:$D$17,IF('Skovbrug-alder'!C118&lt;=År2,3,4),FALSE)-IF(C118&gt;2020,SUM(INDEX($C$1:$D$311,MATCH(1,(2020=$C$1:$C$311)*(B118=$B$1:$B$311)*(A118=$A$1:$A$311),0),2):D117),0))</f>
        <v>0</v>
      </c>
      <c r="E118" s="168">
        <f t="shared" ca="1" si="2"/>
        <v>0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8">
        <f ca="1">IF($C118-G$1&lt;År1,0,F117*(1-VLOOKUP($A118,[1]Hugst!$R$5:$W$9,MATCH(ROUNDUP((G$1)/10,0)*10,[1]Hugst!$R$4:$W$4,0))))</f>
        <v>0</v>
      </c>
      <c r="H118" s="168">
        <f ca="1">IF($C118-H$1&lt;År1,0,G117*(1-VLOOKUP($A118,[1]Hugst!$R$5:$W$9,MATCH(ROUNDUP((H$1)/10,0)*10,[1]Hugst!$R$4:$W$4,0))))</f>
        <v>0</v>
      </c>
      <c r="I118" s="168">
        <f ca="1">IF($C118-I$1&lt;År1,0,H117*(1-VLOOKUP($A118,[1]Hugst!$R$5:$W$9,MATCH(ROUNDUP((I$1)/10,0)*10,[1]Hugst!$R$4:$W$4,0))))</f>
        <v>0</v>
      </c>
      <c r="J118" s="168">
        <f ca="1">IF($C118-J$1&lt;År1,0,I117*(1-VLOOKUP($A118,[1]Hugst!$R$5:$W$9,MATCH(ROUNDUP((J$1)/10,0)*10,[1]Hugst!$R$4:$W$4,0))))</f>
        <v>0</v>
      </c>
      <c r="K118" s="168">
        <f ca="1">IF($C118-K$1&lt;År1,0,J117*(1-VLOOKUP($A118,[1]Hugst!$R$5:$W$9,MATCH(ROUNDUP((K$1)/10,0)*10,[1]Hugst!$R$4:$W$4,0))))</f>
        <v>0</v>
      </c>
      <c r="L118" s="168">
        <f ca="1">IF($C118-L$1&lt;År1,0,K117*(1-VLOOKUP($A118,[1]Hugst!$R$5:$W$9,MATCH(ROUNDUP((L$1)/10,0)*10,[1]Hugst!$R$4:$W$4,0))))</f>
        <v>0</v>
      </c>
      <c r="M118" s="168">
        <f ca="1">IF($C118-M$1&lt;År1,0,L117*(1-VLOOKUP($A118,[1]Hugst!$R$5:$W$9,MATCH(ROUNDUP((M$1)/10,0)*10,[1]Hugst!$R$4:$W$4,0))))</f>
        <v>0</v>
      </c>
      <c r="N118" s="168">
        <f ca="1">IF($C118-N$1&lt;År1,0,M117*(1-VLOOKUP($A118,[1]Hugst!$R$5:$W$9,MATCH(ROUNDUP((N$1)/10,0)*10,[1]Hugst!$R$4:$W$4,0))))</f>
        <v>0</v>
      </c>
      <c r="O118" s="168">
        <f ca="1">IF($C118-O$1&lt;År1,0,N117*(1-VLOOKUP($A118,[1]Hugst!$R$5:$W$9,MATCH(ROUNDUP((O$1)/10,0)*10,[1]Hugst!$R$4:$W$4,0))))</f>
        <v>0</v>
      </c>
      <c r="P118" s="168">
        <f ca="1">IF($C118-P$1&lt;År1,0,O117*(1-VLOOKUP($A118,[1]Hugst!$R$5:$W$9,MATCH(ROUNDUP((P$1)/10,0)*10,[1]Hugst!$R$4:$W$4,0))))</f>
        <v>0</v>
      </c>
      <c r="Q118" s="168">
        <f ca="1">IF($C118-Q$1&lt;År1,0,P117*(1-VLOOKUP($A118,[1]Hugst!$R$5:$W$9,MATCH(ROUNDUP((Q$1)/10,0)*10,[1]Hugst!$R$4:$W$4,0))))</f>
        <v>0</v>
      </c>
      <c r="R118" s="168">
        <f ca="1">IF($C118-R$1&lt;År1,0,Q117*(1-VLOOKUP($A118,[1]Hugst!$R$5:$W$9,MATCH(ROUNDUP((R$1)/10,0)*10,[1]Hugst!$R$4:$W$4,0))))</f>
        <v>0</v>
      </c>
      <c r="S118" s="168">
        <f ca="1">IF($C118-S$1&lt;År1,0,R117*(1-VLOOKUP($A118,[1]Hugst!$R$5:$W$9,MATCH(ROUNDUP((S$1)/10,0)*10,[1]Hugst!$R$4:$W$4,0))))</f>
        <v>0</v>
      </c>
      <c r="T118" s="168">
        <f ca="1">IF($C118-T$1&lt;År1,0,S117*(1-VLOOKUP($A118,[1]Hugst!$R$5:$W$9,MATCH(ROUNDUP((T$1)/10,0)*10,[1]Hugst!$R$4:$W$4,0))))</f>
        <v>0</v>
      </c>
      <c r="U118" s="168">
        <f ca="1">IF($C118-U$1&lt;År1,0,T117*(1-VLOOKUP($A118,[1]Hugst!$R$5:$W$9,MATCH(ROUNDUP((U$1)/10,0)*10,[1]Hugst!$R$4:$W$4,0))))</f>
        <v>0</v>
      </c>
      <c r="V118" s="168">
        <f ca="1">IF($C118-V$1&lt;År1,0,U117*(1-VLOOKUP($A118,[1]Hugst!$R$5:$W$9,MATCH(ROUNDUP((V$1)/10,0)*10,[1]Hugst!$R$4:$W$4,0))))</f>
        <v>0</v>
      </c>
      <c r="W118" s="168">
        <f ca="1">IF($C118-W$1&lt;År1,0,V117*(1-VLOOKUP($A118,[1]Hugst!$R$5:$W$9,MATCH(ROUNDUP((W$1)/10,0)*10,[1]Hugst!$R$4:$W$4,0))))</f>
        <v>0</v>
      </c>
      <c r="X118" s="168">
        <f ca="1">IF($C118-X$1&lt;År1,0,W117*(1-VLOOKUP($A118,[1]Hugst!$R$5:$W$9,MATCH(ROUNDUP((X$1)/10,0)*10,[1]Hugst!$R$4:$W$4,0))))</f>
        <v>0</v>
      </c>
      <c r="Y118" s="168">
        <f ca="1">IF($C118-Y$1&lt;År1,0,X117*(1-VLOOKUP($A118,[1]Hugst!$R$5:$W$9,MATCH(ROUNDUP((Y$1)/10,0)*10,[1]Hugst!$R$4:$W$4,0))))</f>
        <v>0</v>
      </c>
      <c r="Z118" s="168">
        <f ca="1">IF($C118-Z$1&lt;År1,0,Y117*(1-VLOOKUP($A118,[1]Hugst!$R$5:$W$9,MATCH(ROUNDUP((Z$1)/10,0)*10,[1]Hugst!$R$4:$W$4,0))))</f>
        <v>0</v>
      </c>
      <c r="AA118" s="168">
        <f ca="1">IF($C118-AA$1&lt;År1,0,Z117*(1-VLOOKUP($A118,[1]Hugst!$R$5:$W$9,MATCH(ROUNDUP((AA$1)/10,0)*10,[1]Hugst!$R$4:$W$4,0))))</f>
        <v>0</v>
      </c>
      <c r="AB118" s="168">
        <f ca="1">IF($C118-AB$1&lt;År1,0,AA117*(1-VLOOKUP($A118,[1]Hugst!$R$5:$W$9,MATCH(ROUNDUP((AB$1)/10,0)*10,[1]Hugst!$R$4:$W$4,0))))</f>
        <v>0</v>
      </c>
      <c r="AC118" s="168">
        <f ca="1">IF($C118-AC$1&lt;År1,0,AB117*(1-VLOOKUP($A118,[1]Hugst!$R$5:$W$9,MATCH(ROUNDUP((AC$1)/10,0)*10,[1]Hugst!$R$4:$W$4,0))))</f>
        <v>0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*VLOOKUP(A119,Skovbrug!$A$13:$D$17,IF('Skovbrug-alder'!C119&lt;=År2,3,4),FALSE)-IF(C119&gt;2020,SUM(INDEX($C$1:$D$311,MATCH(1,(2020=$C$1:$C$311)*(B119=$B$1:$B$311)*(A119=$A$1:$A$311),0),2):D118),0))</f>
        <v>0</v>
      </c>
      <c r="E119" s="168">
        <f t="shared" ca="1" si="2"/>
        <v>0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8">
        <f ca="1">IF($C119-G$1&lt;År1,0,F118*(1-VLOOKUP($A119,[1]Hugst!$R$5:$W$9,MATCH(ROUNDUP((G$1)/10,0)*10,[1]Hugst!$R$4:$W$4,0))))</f>
        <v>0</v>
      </c>
      <c r="H119" s="168">
        <f ca="1">IF($C119-H$1&lt;År1,0,G118*(1-VLOOKUP($A119,[1]Hugst!$R$5:$W$9,MATCH(ROUNDUP((H$1)/10,0)*10,[1]Hugst!$R$4:$W$4,0))))</f>
        <v>0</v>
      </c>
      <c r="I119" s="168">
        <f ca="1">IF($C119-I$1&lt;År1,0,H118*(1-VLOOKUP($A119,[1]Hugst!$R$5:$W$9,MATCH(ROUNDUP((I$1)/10,0)*10,[1]Hugst!$R$4:$W$4,0))))</f>
        <v>0</v>
      </c>
      <c r="J119" s="168">
        <f ca="1">IF($C119-J$1&lt;År1,0,I118*(1-VLOOKUP($A119,[1]Hugst!$R$5:$W$9,MATCH(ROUNDUP((J$1)/10,0)*10,[1]Hugst!$R$4:$W$4,0))))</f>
        <v>0</v>
      </c>
      <c r="K119" s="168">
        <f ca="1">IF($C119-K$1&lt;År1,0,J118*(1-VLOOKUP($A119,[1]Hugst!$R$5:$W$9,MATCH(ROUNDUP((K$1)/10,0)*10,[1]Hugst!$R$4:$W$4,0))))</f>
        <v>0</v>
      </c>
      <c r="L119" s="168">
        <f ca="1">IF($C119-L$1&lt;År1,0,K118*(1-VLOOKUP($A119,[1]Hugst!$R$5:$W$9,MATCH(ROUNDUP((L$1)/10,0)*10,[1]Hugst!$R$4:$W$4,0))))</f>
        <v>0</v>
      </c>
      <c r="M119" s="168">
        <f ca="1">IF($C119-M$1&lt;År1,0,L118*(1-VLOOKUP($A119,[1]Hugst!$R$5:$W$9,MATCH(ROUNDUP((M$1)/10,0)*10,[1]Hugst!$R$4:$W$4,0))))</f>
        <v>0</v>
      </c>
      <c r="N119" s="168">
        <f ca="1">IF($C119-N$1&lt;År1,0,M118*(1-VLOOKUP($A119,[1]Hugst!$R$5:$W$9,MATCH(ROUNDUP((N$1)/10,0)*10,[1]Hugst!$R$4:$W$4,0))))</f>
        <v>0</v>
      </c>
      <c r="O119" s="168">
        <f ca="1">IF($C119-O$1&lt;År1,0,N118*(1-VLOOKUP($A119,[1]Hugst!$R$5:$W$9,MATCH(ROUNDUP((O$1)/10,0)*10,[1]Hugst!$R$4:$W$4,0))))</f>
        <v>0</v>
      </c>
      <c r="P119" s="168">
        <f ca="1">IF($C119-P$1&lt;År1,0,O118*(1-VLOOKUP($A119,[1]Hugst!$R$5:$W$9,MATCH(ROUNDUP((P$1)/10,0)*10,[1]Hugst!$R$4:$W$4,0))))</f>
        <v>0</v>
      </c>
      <c r="Q119" s="168">
        <f ca="1">IF($C119-Q$1&lt;År1,0,P118*(1-VLOOKUP($A119,[1]Hugst!$R$5:$W$9,MATCH(ROUNDUP((Q$1)/10,0)*10,[1]Hugst!$R$4:$W$4,0))))</f>
        <v>0</v>
      </c>
      <c r="R119" s="168">
        <f ca="1">IF($C119-R$1&lt;År1,0,Q118*(1-VLOOKUP($A119,[1]Hugst!$R$5:$W$9,MATCH(ROUNDUP((R$1)/10,0)*10,[1]Hugst!$R$4:$W$4,0))))</f>
        <v>0</v>
      </c>
      <c r="S119" s="168">
        <f ca="1">IF($C119-S$1&lt;År1,0,R118*(1-VLOOKUP($A119,[1]Hugst!$R$5:$W$9,MATCH(ROUNDUP((S$1)/10,0)*10,[1]Hugst!$R$4:$W$4,0))))</f>
        <v>0</v>
      </c>
      <c r="T119" s="168">
        <f ca="1">IF($C119-T$1&lt;År1,0,S118*(1-VLOOKUP($A119,[1]Hugst!$R$5:$W$9,MATCH(ROUNDUP((T$1)/10,0)*10,[1]Hugst!$R$4:$W$4,0))))</f>
        <v>0</v>
      </c>
      <c r="U119" s="168">
        <f ca="1">IF($C119-U$1&lt;År1,0,T118*(1-VLOOKUP($A119,[1]Hugst!$R$5:$W$9,MATCH(ROUNDUP((U$1)/10,0)*10,[1]Hugst!$R$4:$W$4,0))))</f>
        <v>0</v>
      </c>
      <c r="V119" s="168">
        <f ca="1">IF($C119-V$1&lt;År1,0,U118*(1-VLOOKUP($A119,[1]Hugst!$R$5:$W$9,MATCH(ROUNDUP((V$1)/10,0)*10,[1]Hugst!$R$4:$W$4,0))))</f>
        <v>0</v>
      </c>
      <c r="W119" s="168">
        <f ca="1">IF($C119-W$1&lt;År1,0,V118*(1-VLOOKUP($A119,[1]Hugst!$R$5:$W$9,MATCH(ROUNDUP((W$1)/10,0)*10,[1]Hugst!$R$4:$W$4,0))))</f>
        <v>0</v>
      </c>
      <c r="X119" s="168">
        <f ca="1">IF($C119-X$1&lt;År1,0,W118*(1-VLOOKUP($A119,[1]Hugst!$R$5:$W$9,MATCH(ROUNDUP((X$1)/10,0)*10,[1]Hugst!$R$4:$W$4,0))))</f>
        <v>0</v>
      </c>
      <c r="Y119" s="168">
        <f ca="1">IF($C119-Y$1&lt;År1,0,X118*(1-VLOOKUP($A119,[1]Hugst!$R$5:$W$9,MATCH(ROUNDUP((Y$1)/10,0)*10,[1]Hugst!$R$4:$W$4,0))))</f>
        <v>0</v>
      </c>
      <c r="Z119" s="168">
        <f ca="1">IF($C119-Z$1&lt;År1,0,Y118*(1-VLOOKUP($A119,[1]Hugst!$R$5:$W$9,MATCH(ROUNDUP((Z$1)/10,0)*10,[1]Hugst!$R$4:$W$4,0))))</f>
        <v>0</v>
      </c>
      <c r="AA119" s="168">
        <f ca="1">IF($C119-AA$1&lt;År1,0,Z118*(1-VLOOKUP($A119,[1]Hugst!$R$5:$W$9,MATCH(ROUNDUP((AA$1)/10,0)*10,[1]Hugst!$R$4:$W$4,0))))</f>
        <v>0</v>
      </c>
      <c r="AB119" s="168">
        <f ca="1">IF($C119-AB$1&lt;År1,0,AA118*(1-VLOOKUP($A119,[1]Hugst!$R$5:$W$9,MATCH(ROUNDUP((AB$1)/10,0)*10,[1]Hugst!$R$4:$W$4,0))))</f>
        <v>0</v>
      </c>
      <c r="AC119" s="168">
        <f ca="1">IF($C119-AC$1&lt;År1,0,AB118*(1-VLOOKUP($A119,[1]Hugst!$R$5:$W$9,MATCH(ROUNDUP((AC$1)/10,0)*10,[1]Hugst!$R$4:$W$4,0))))</f>
        <v>0</v>
      </c>
      <c r="AD119" s="168">
        <f ca="1">IF($C119-AD$1&lt;År1,0,AC118*(1-VLOOKUP($A119,[1]Hugst!$R$5:$W$9,MATCH(ROUNDUP((AD$1)/10,0)*10,[1]Hugst!$R$4:$W$4,0))))</f>
        <v>0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*VLOOKUP(A120,Skovbrug!$A$13:$D$17,IF('Skovbrug-alder'!C120&lt;=År2,3,4),FALSE)-IF(C120&gt;2020,SUM(INDEX($C$1:$D$311,MATCH(1,(2020=$C$1:$C$311)*(B120=$B$1:$B$311)*(A120=$A$1:$A$311),0),2):D119),0))</f>
        <v>0</v>
      </c>
      <c r="E120" s="168">
        <f t="shared" ca="1" si="2"/>
        <v>0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8">
        <f ca="1">IF($C120-G$1&lt;År1,0,F119*(1-VLOOKUP($A120,[1]Hugst!$R$5:$W$9,MATCH(ROUNDUP((G$1)/10,0)*10,[1]Hugst!$R$4:$W$4,0))))</f>
        <v>0</v>
      </c>
      <c r="H120" s="168">
        <f ca="1">IF($C120-H$1&lt;År1,0,G119*(1-VLOOKUP($A120,[1]Hugst!$R$5:$W$9,MATCH(ROUNDUP((H$1)/10,0)*10,[1]Hugst!$R$4:$W$4,0))))</f>
        <v>0</v>
      </c>
      <c r="I120" s="168">
        <f ca="1">IF($C120-I$1&lt;År1,0,H119*(1-VLOOKUP($A120,[1]Hugst!$R$5:$W$9,MATCH(ROUNDUP((I$1)/10,0)*10,[1]Hugst!$R$4:$W$4,0))))</f>
        <v>0</v>
      </c>
      <c r="J120" s="168">
        <f ca="1">IF($C120-J$1&lt;År1,0,I119*(1-VLOOKUP($A120,[1]Hugst!$R$5:$W$9,MATCH(ROUNDUP((J$1)/10,0)*10,[1]Hugst!$R$4:$W$4,0))))</f>
        <v>0</v>
      </c>
      <c r="K120" s="168">
        <f ca="1">IF($C120-K$1&lt;År1,0,J119*(1-VLOOKUP($A120,[1]Hugst!$R$5:$W$9,MATCH(ROUNDUP((K$1)/10,0)*10,[1]Hugst!$R$4:$W$4,0))))</f>
        <v>0</v>
      </c>
      <c r="L120" s="168">
        <f ca="1">IF($C120-L$1&lt;År1,0,K119*(1-VLOOKUP($A120,[1]Hugst!$R$5:$W$9,MATCH(ROUNDUP((L$1)/10,0)*10,[1]Hugst!$R$4:$W$4,0))))</f>
        <v>0</v>
      </c>
      <c r="M120" s="168">
        <f ca="1">IF($C120-M$1&lt;År1,0,L119*(1-VLOOKUP($A120,[1]Hugst!$R$5:$W$9,MATCH(ROUNDUP((M$1)/10,0)*10,[1]Hugst!$R$4:$W$4,0))))</f>
        <v>0</v>
      </c>
      <c r="N120" s="168">
        <f ca="1">IF($C120-N$1&lt;År1,0,M119*(1-VLOOKUP($A120,[1]Hugst!$R$5:$W$9,MATCH(ROUNDUP((N$1)/10,0)*10,[1]Hugst!$R$4:$W$4,0))))</f>
        <v>0</v>
      </c>
      <c r="O120" s="168">
        <f ca="1">IF($C120-O$1&lt;År1,0,N119*(1-VLOOKUP($A120,[1]Hugst!$R$5:$W$9,MATCH(ROUNDUP((O$1)/10,0)*10,[1]Hugst!$R$4:$W$4,0))))</f>
        <v>0</v>
      </c>
      <c r="P120" s="168">
        <f ca="1">IF($C120-P$1&lt;År1,0,O119*(1-VLOOKUP($A120,[1]Hugst!$R$5:$W$9,MATCH(ROUNDUP((P$1)/10,0)*10,[1]Hugst!$R$4:$W$4,0))))</f>
        <v>0</v>
      </c>
      <c r="Q120" s="168">
        <f ca="1">IF($C120-Q$1&lt;År1,0,P119*(1-VLOOKUP($A120,[1]Hugst!$R$5:$W$9,MATCH(ROUNDUP((Q$1)/10,0)*10,[1]Hugst!$R$4:$W$4,0))))</f>
        <v>0</v>
      </c>
      <c r="R120" s="168">
        <f ca="1">IF($C120-R$1&lt;År1,0,Q119*(1-VLOOKUP($A120,[1]Hugst!$R$5:$W$9,MATCH(ROUNDUP((R$1)/10,0)*10,[1]Hugst!$R$4:$W$4,0))))</f>
        <v>0</v>
      </c>
      <c r="S120" s="168">
        <f ca="1">IF($C120-S$1&lt;År1,0,R119*(1-VLOOKUP($A120,[1]Hugst!$R$5:$W$9,MATCH(ROUNDUP((S$1)/10,0)*10,[1]Hugst!$R$4:$W$4,0))))</f>
        <v>0</v>
      </c>
      <c r="T120" s="168">
        <f ca="1">IF($C120-T$1&lt;År1,0,S119*(1-VLOOKUP($A120,[1]Hugst!$R$5:$W$9,MATCH(ROUNDUP((T$1)/10,0)*10,[1]Hugst!$R$4:$W$4,0))))</f>
        <v>0</v>
      </c>
      <c r="U120" s="168">
        <f ca="1">IF($C120-U$1&lt;År1,0,T119*(1-VLOOKUP($A120,[1]Hugst!$R$5:$W$9,MATCH(ROUNDUP((U$1)/10,0)*10,[1]Hugst!$R$4:$W$4,0))))</f>
        <v>0</v>
      </c>
      <c r="V120" s="168">
        <f ca="1">IF($C120-V$1&lt;År1,0,U119*(1-VLOOKUP($A120,[1]Hugst!$R$5:$W$9,MATCH(ROUNDUP((V$1)/10,0)*10,[1]Hugst!$R$4:$W$4,0))))</f>
        <v>0</v>
      </c>
      <c r="W120" s="168">
        <f ca="1">IF($C120-W$1&lt;År1,0,V119*(1-VLOOKUP($A120,[1]Hugst!$R$5:$W$9,MATCH(ROUNDUP((W$1)/10,0)*10,[1]Hugst!$R$4:$W$4,0))))</f>
        <v>0</v>
      </c>
      <c r="X120" s="168">
        <f ca="1">IF($C120-X$1&lt;År1,0,W119*(1-VLOOKUP($A120,[1]Hugst!$R$5:$W$9,MATCH(ROUNDUP((X$1)/10,0)*10,[1]Hugst!$R$4:$W$4,0))))</f>
        <v>0</v>
      </c>
      <c r="Y120" s="168">
        <f ca="1">IF($C120-Y$1&lt;År1,0,X119*(1-VLOOKUP($A120,[1]Hugst!$R$5:$W$9,MATCH(ROUNDUP((Y$1)/10,0)*10,[1]Hugst!$R$4:$W$4,0))))</f>
        <v>0</v>
      </c>
      <c r="Z120" s="168">
        <f ca="1">IF($C120-Z$1&lt;År1,0,Y119*(1-VLOOKUP($A120,[1]Hugst!$R$5:$W$9,MATCH(ROUNDUP((Z$1)/10,0)*10,[1]Hugst!$R$4:$W$4,0))))</f>
        <v>0</v>
      </c>
      <c r="AA120" s="168">
        <f ca="1">IF($C120-AA$1&lt;År1,0,Z119*(1-VLOOKUP($A120,[1]Hugst!$R$5:$W$9,MATCH(ROUNDUP((AA$1)/10,0)*10,[1]Hugst!$R$4:$W$4,0))))</f>
        <v>0</v>
      </c>
      <c r="AB120" s="168">
        <f ca="1">IF($C120-AB$1&lt;År1,0,AA119*(1-VLOOKUP($A120,[1]Hugst!$R$5:$W$9,MATCH(ROUNDUP((AB$1)/10,0)*10,[1]Hugst!$R$4:$W$4,0))))</f>
        <v>0</v>
      </c>
      <c r="AC120" s="168">
        <f ca="1">IF($C120-AC$1&lt;År1,0,AB119*(1-VLOOKUP($A120,[1]Hugst!$R$5:$W$9,MATCH(ROUNDUP((AC$1)/10,0)*10,[1]Hugst!$R$4:$W$4,0))))</f>
        <v>0</v>
      </c>
      <c r="AD120" s="168">
        <f ca="1">IF($C120-AD$1&lt;År1,0,AC119*(1-VLOOKUP($A120,[1]Hugst!$R$5:$W$9,MATCH(ROUNDUP((AD$1)/10,0)*10,[1]Hugst!$R$4:$W$4,0))))</f>
        <v>0</v>
      </c>
      <c r="AE120" s="168">
        <f ca="1">IF($C120-AE$1&lt;År1,0,AD119*(1-VLOOKUP($A120,[1]Hugst!$R$5:$W$9,MATCH(ROUNDUP((AE$1)/10,0)*10,[1]Hugst!$R$4:$W$4,0))))</f>
        <v>0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*VLOOKUP(A121,Skovbrug!$A$13:$D$17,IF('Skovbrug-alder'!C121&lt;=År2,3,4),FALSE)-IF(C121&gt;2020,SUM(INDEX($C$1:$D$311,MATCH(1,(2020=$C$1:$C$311)*(B121=$B$1:$B$311)*(A121=$A$1:$A$311),0),2):D120),0))</f>
        <v>0</v>
      </c>
      <c r="E121" s="168">
        <f t="shared" ca="1" si="2"/>
        <v>0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8">
        <f ca="1">IF($C121-G$1&lt;År1,0,F120*(1-VLOOKUP($A121,[1]Hugst!$R$5:$W$9,MATCH(ROUNDUP((G$1)/10,0)*10,[1]Hugst!$R$4:$W$4,0))))</f>
        <v>0</v>
      </c>
      <c r="H121" s="168">
        <f ca="1">IF($C121-H$1&lt;År1,0,G120*(1-VLOOKUP($A121,[1]Hugst!$R$5:$W$9,MATCH(ROUNDUP((H$1)/10,0)*10,[1]Hugst!$R$4:$W$4,0))))</f>
        <v>0</v>
      </c>
      <c r="I121" s="168">
        <f ca="1">IF($C121-I$1&lt;År1,0,H120*(1-VLOOKUP($A121,[1]Hugst!$R$5:$W$9,MATCH(ROUNDUP((I$1)/10,0)*10,[1]Hugst!$R$4:$W$4,0))))</f>
        <v>0</v>
      </c>
      <c r="J121" s="168">
        <f ca="1">IF($C121-J$1&lt;År1,0,I120*(1-VLOOKUP($A121,[1]Hugst!$R$5:$W$9,MATCH(ROUNDUP((J$1)/10,0)*10,[1]Hugst!$R$4:$W$4,0))))</f>
        <v>0</v>
      </c>
      <c r="K121" s="168">
        <f ca="1">IF($C121-K$1&lt;År1,0,J120*(1-VLOOKUP($A121,[1]Hugst!$R$5:$W$9,MATCH(ROUNDUP((K$1)/10,0)*10,[1]Hugst!$R$4:$W$4,0))))</f>
        <v>0</v>
      </c>
      <c r="L121" s="168">
        <f ca="1">IF($C121-L$1&lt;År1,0,K120*(1-VLOOKUP($A121,[1]Hugst!$R$5:$W$9,MATCH(ROUNDUP((L$1)/10,0)*10,[1]Hugst!$R$4:$W$4,0))))</f>
        <v>0</v>
      </c>
      <c r="M121" s="168">
        <f ca="1">IF($C121-M$1&lt;År1,0,L120*(1-VLOOKUP($A121,[1]Hugst!$R$5:$W$9,MATCH(ROUNDUP((M$1)/10,0)*10,[1]Hugst!$R$4:$W$4,0))))</f>
        <v>0</v>
      </c>
      <c r="N121" s="168">
        <f ca="1">IF($C121-N$1&lt;År1,0,M120*(1-VLOOKUP($A121,[1]Hugst!$R$5:$W$9,MATCH(ROUNDUP((N$1)/10,0)*10,[1]Hugst!$R$4:$W$4,0))))</f>
        <v>0</v>
      </c>
      <c r="O121" s="168">
        <f ca="1">IF($C121-O$1&lt;År1,0,N120*(1-VLOOKUP($A121,[1]Hugst!$R$5:$W$9,MATCH(ROUNDUP((O$1)/10,0)*10,[1]Hugst!$R$4:$W$4,0))))</f>
        <v>0</v>
      </c>
      <c r="P121" s="168">
        <f ca="1">IF($C121-P$1&lt;År1,0,O120*(1-VLOOKUP($A121,[1]Hugst!$R$5:$W$9,MATCH(ROUNDUP((P$1)/10,0)*10,[1]Hugst!$R$4:$W$4,0))))</f>
        <v>0</v>
      </c>
      <c r="Q121" s="168">
        <f ca="1">IF($C121-Q$1&lt;År1,0,P120*(1-VLOOKUP($A121,[1]Hugst!$R$5:$W$9,MATCH(ROUNDUP((Q$1)/10,0)*10,[1]Hugst!$R$4:$W$4,0))))</f>
        <v>0</v>
      </c>
      <c r="R121" s="168">
        <f ca="1">IF($C121-R$1&lt;År1,0,Q120*(1-VLOOKUP($A121,[1]Hugst!$R$5:$W$9,MATCH(ROUNDUP((R$1)/10,0)*10,[1]Hugst!$R$4:$W$4,0))))</f>
        <v>0</v>
      </c>
      <c r="S121" s="168">
        <f ca="1">IF($C121-S$1&lt;År1,0,R120*(1-VLOOKUP($A121,[1]Hugst!$R$5:$W$9,MATCH(ROUNDUP((S$1)/10,0)*10,[1]Hugst!$R$4:$W$4,0))))</f>
        <v>0</v>
      </c>
      <c r="T121" s="168">
        <f ca="1">IF($C121-T$1&lt;År1,0,S120*(1-VLOOKUP($A121,[1]Hugst!$R$5:$W$9,MATCH(ROUNDUP((T$1)/10,0)*10,[1]Hugst!$R$4:$W$4,0))))</f>
        <v>0</v>
      </c>
      <c r="U121" s="168">
        <f ca="1">IF($C121-U$1&lt;År1,0,T120*(1-VLOOKUP($A121,[1]Hugst!$R$5:$W$9,MATCH(ROUNDUP((U$1)/10,0)*10,[1]Hugst!$R$4:$W$4,0))))</f>
        <v>0</v>
      </c>
      <c r="V121" s="168">
        <f ca="1">IF($C121-V$1&lt;År1,0,U120*(1-VLOOKUP($A121,[1]Hugst!$R$5:$W$9,MATCH(ROUNDUP((V$1)/10,0)*10,[1]Hugst!$R$4:$W$4,0))))</f>
        <v>0</v>
      </c>
      <c r="W121" s="168">
        <f ca="1">IF($C121-W$1&lt;År1,0,V120*(1-VLOOKUP($A121,[1]Hugst!$R$5:$W$9,MATCH(ROUNDUP((W$1)/10,0)*10,[1]Hugst!$R$4:$W$4,0))))</f>
        <v>0</v>
      </c>
      <c r="X121" s="168">
        <f ca="1">IF($C121-X$1&lt;År1,0,W120*(1-VLOOKUP($A121,[1]Hugst!$R$5:$W$9,MATCH(ROUNDUP((X$1)/10,0)*10,[1]Hugst!$R$4:$W$4,0))))</f>
        <v>0</v>
      </c>
      <c r="Y121" s="168">
        <f ca="1">IF($C121-Y$1&lt;År1,0,X120*(1-VLOOKUP($A121,[1]Hugst!$R$5:$W$9,MATCH(ROUNDUP((Y$1)/10,0)*10,[1]Hugst!$R$4:$W$4,0))))</f>
        <v>0</v>
      </c>
      <c r="Z121" s="168">
        <f ca="1">IF($C121-Z$1&lt;År1,0,Y120*(1-VLOOKUP($A121,[1]Hugst!$R$5:$W$9,MATCH(ROUNDUP((Z$1)/10,0)*10,[1]Hugst!$R$4:$W$4,0))))</f>
        <v>0</v>
      </c>
      <c r="AA121" s="168">
        <f ca="1">IF($C121-AA$1&lt;År1,0,Z120*(1-VLOOKUP($A121,[1]Hugst!$R$5:$W$9,MATCH(ROUNDUP((AA$1)/10,0)*10,[1]Hugst!$R$4:$W$4,0))))</f>
        <v>0</v>
      </c>
      <c r="AB121" s="168">
        <f ca="1">IF($C121-AB$1&lt;År1,0,AA120*(1-VLOOKUP($A121,[1]Hugst!$R$5:$W$9,MATCH(ROUNDUP((AB$1)/10,0)*10,[1]Hugst!$R$4:$W$4,0))))</f>
        <v>0</v>
      </c>
      <c r="AC121" s="168">
        <f ca="1">IF($C121-AC$1&lt;År1,0,AB120*(1-VLOOKUP($A121,[1]Hugst!$R$5:$W$9,MATCH(ROUNDUP((AC$1)/10,0)*10,[1]Hugst!$R$4:$W$4,0))))</f>
        <v>0</v>
      </c>
      <c r="AD121" s="168">
        <f ca="1">IF($C121-AD$1&lt;År1,0,AC120*(1-VLOOKUP($A121,[1]Hugst!$R$5:$W$9,MATCH(ROUNDUP((AD$1)/10,0)*10,[1]Hugst!$R$4:$W$4,0))))</f>
        <v>0</v>
      </c>
      <c r="AE121" s="168">
        <f ca="1">IF($C121-AE$1&lt;År1,0,AD120*(1-VLOOKUP($A121,[1]Hugst!$R$5:$W$9,MATCH(ROUNDUP((AE$1)/10,0)*10,[1]Hugst!$R$4:$W$4,0))))</f>
        <v>0</v>
      </c>
      <c r="AF121" s="168">
        <f ca="1">IF($C121-AF$1&lt;År1,0,AE120*(1-VLOOKUP($A121,[1]Hugst!$R$5:$W$9,MATCH(ROUNDUP((AF$1)/10,0)*10,[1]Hugst!$R$4:$W$4,0))))</f>
        <v>0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*VLOOKUP(A122,Skovbrug!$A$13:$D$17,IF('Skovbrug-alder'!C122&lt;=År2,3,4),FALSE)-IF(C122&gt;2020,SUM(INDEX($C$1:$D$311,MATCH(1,(2020=$C$1:$C$311)*(B122=$B$1:$B$311)*(A122=$A$1:$A$311),0),2):D121),0))</f>
        <v>0</v>
      </c>
      <c r="E122" s="168">
        <f t="shared" ca="1" si="2"/>
        <v>0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8">
        <f ca="1">IF($C122-G$1&lt;År1,0,F121*(1-VLOOKUP($A122,[1]Hugst!$R$5:$W$9,MATCH(ROUNDUP((G$1)/10,0)*10,[1]Hugst!$R$4:$W$4,0))))</f>
        <v>0</v>
      </c>
      <c r="H122" s="168">
        <f ca="1">IF($C122-H$1&lt;År1,0,G121*(1-VLOOKUP($A122,[1]Hugst!$R$5:$W$9,MATCH(ROUNDUP((H$1)/10,0)*10,[1]Hugst!$R$4:$W$4,0))))</f>
        <v>0</v>
      </c>
      <c r="I122" s="168">
        <f ca="1">IF($C122-I$1&lt;År1,0,H121*(1-VLOOKUP($A122,[1]Hugst!$R$5:$W$9,MATCH(ROUNDUP((I$1)/10,0)*10,[1]Hugst!$R$4:$W$4,0))))</f>
        <v>0</v>
      </c>
      <c r="J122" s="168">
        <f ca="1">IF($C122-J$1&lt;År1,0,I121*(1-VLOOKUP($A122,[1]Hugst!$R$5:$W$9,MATCH(ROUNDUP((J$1)/10,0)*10,[1]Hugst!$R$4:$W$4,0))))</f>
        <v>0</v>
      </c>
      <c r="K122" s="168">
        <f ca="1">IF($C122-K$1&lt;År1,0,J121*(1-VLOOKUP($A122,[1]Hugst!$R$5:$W$9,MATCH(ROUNDUP((K$1)/10,0)*10,[1]Hugst!$R$4:$W$4,0))))</f>
        <v>0</v>
      </c>
      <c r="L122" s="168">
        <f ca="1">IF($C122-L$1&lt;År1,0,K121*(1-VLOOKUP($A122,[1]Hugst!$R$5:$W$9,MATCH(ROUNDUP((L$1)/10,0)*10,[1]Hugst!$R$4:$W$4,0))))</f>
        <v>0</v>
      </c>
      <c r="M122" s="168">
        <f ca="1">IF($C122-M$1&lt;År1,0,L121*(1-VLOOKUP($A122,[1]Hugst!$R$5:$W$9,MATCH(ROUNDUP((M$1)/10,0)*10,[1]Hugst!$R$4:$W$4,0))))</f>
        <v>0</v>
      </c>
      <c r="N122" s="168">
        <f ca="1">IF($C122-N$1&lt;År1,0,M121*(1-VLOOKUP($A122,[1]Hugst!$R$5:$W$9,MATCH(ROUNDUP((N$1)/10,0)*10,[1]Hugst!$R$4:$W$4,0))))</f>
        <v>0</v>
      </c>
      <c r="O122" s="168">
        <f ca="1">IF($C122-O$1&lt;År1,0,N121*(1-VLOOKUP($A122,[1]Hugst!$R$5:$W$9,MATCH(ROUNDUP((O$1)/10,0)*10,[1]Hugst!$R$4:$W$4,0))))</f>
        <v>0</v>
      </c>
      <c r="P122" s="168">
        <f ca="1">IF($C122-P$1&lt;År1,0,O121*(1-VLOOKUP($A122,[1]Hugst!$R$5:$W$9,MATCH(ROUNDUP((P$1)/10,0)*10,[1]Hugst!$R$4:$W$4,0))))</f>
        <v>0</v>
      </c>
      <c r="Q122" s="168">
        <f ca="1">IF($C122-Q$1&lt;År1,0,P121*(1-VLOOKUP($A122,[1]Hugst!$R$5:$W$9,MATCH(ROUNDUP((Q$1)/10,0)*10,[1]Hugst!$R$4:$W$4,0))))</f>
        <v>0</v>
      </c>
      <c r="R122" s="168">
        <f ca="1">IF($C122-R$1&lt;År1,0,Q121*(1-VLOOKUP($A122,[1]Hugst!$R$5:$W$9,MATCH(ROUNDUP((R$1)/10,0)*10,[1]Hugst!$R$4:$W$4,0))))</f>
        <v>0</v>
      </c>
      <c r="S122" s="168">
        <f ca="1">IF($C122-S$1&lt;År1,0,R121*(1-VLOOKUP($A122,[1]Hugst!$R$5:$W$9,MATCH(ROUNDUP((S$1)/10,0)*10,[1]Hugst!$R$4:$W$4,0))))</f>
        <v>0</v>
      </c>
      <c r="T122" s="168">
        <f ca="1">IF($C122-T$1&lt;År1,0,S121*(1-VLOOKUP($A122,[1]Hugst!$R$5:$W$9,MATCH(ROUNDUP((T$1)/10,0)*10,[1]Hugst!$R$4:$W$4,0))))</f>
        <v>0</v>
      </c>
      <c r="U122" s="168">
        <f ca="1">IF($C122-U$1&lt;År1,0,T121*(1-VLOOKUP($A122,[1]Hugst!$R$5:$W$9,MATCH(ROUNDUP((U$1)/10,0)*10,[1]Hugst!$R$4:$W$4,0))))</f>
        <v>0</v>
      </c>
      <c r="V122" s="168">
        <f ca="1">IF($C122-V$1&lt;År1,0,U121*(1-VLOOKUP($A122,[1]Hugst!$R$5:$W$9,MATCH(ROUNDUP((V$1)/10,0)*10,[1]Hugst!$R$4:$W$4,0))))</f>
        <v>0</v>
      </c>
      <c r="W122" s="168">
        <f ca="1">IF($C122-W$1&lt;År1,0,V121*(1-VLOOKUP($A122,[1]Hugst!$R$5:$W$9,MATCH(ROUNDUP((W$1)/10,0)*10,[1]Hugst!$R$4:$W$4,0))))</f>
        <v>0</v>
      </c>
      <c r="X122" s="168">
        <f ca="1">IF($C122-X$1&lt;År1,0,W121*(1-VLOOKUP($A122,[1]Hugst!$R$5:$W$9,MATCH(ROUNDUP((X$1)/10,0)*10,[1]Hugst!$R$4:$W$4,0))))</f>
        <v>0</v>
      </c>
      <c r="Y122" s="168">
        <f ca="1">IF($C122-Y$1&lt;År1,0,X121*(1-VLOOKUP($A122,[1]Hugst!$R$5:$W$9,MATCH(ROUNDUP((Y$1)/10,0)*10,[1]Hugst!$R$4:$W$4,0))))</f>
        <v>0</v>
      </c>
      <c r="Z122" s="168">
        <f ca="1">IF($C122-Z$1&lt;År1,0,Y121*(1-VLOOKUP($A122,[1]Hugst!$R$5:$W$9,MATCH(ROUNDUP((Z$1)/10,0)*10,[1]Hugst!$R$4:$W$4,0))))</f>
        <v>0</v>
      </c>
      <c r="AA122" s="168">
        <f ca="1">IF($C122-AA$1&lt;År1,0,Z121*(1-VLOOKUP($A122,[1]Hugst!$R$5:$W$9,MATCH(ROUNDUP((AA$1)/10,0)*10,[1]Hugst!$R$4:$W$4,0))))</f>
        <v>0</v>
      </c>
      <c r="AB122" s="168">
        <f ca="1">IF($C122-AB$1&lt;År1,0,AA121*(1-VLOOKUP($A122,[1]Hugst!$R$5:$W$9,MATCH(ROUNDUP((AB$1)/10,0)*10,[1]Hugst!$R$4:$W$4,0))))</f>
        <v>0</v>
      </c>
      <c r="AC122" s="168">
        <f ca="1">IF($C122-AC$1&lt;År1,0,AB121*(1-VLOOKUP($A122,[1]Hugst!$R$5:$W$9,MATCH(ROUNDUP((AC$1)/10,0)*10,[1]Hugst!$R$4:$W$4,0))))</f>
        <v>0</v>
      </c>
      <c r="AD122" s="168">
        <f ca="1">IF($C122-AD$1&lt;År1,0,AC121*(1-VLOOKUP($A122,[1]Hugst!$R$5:$W$9,MATCH(ROUNDUP((AD$1)/10,0)*10,[1]Hugst!$R$4:$W$4,0))))</f>
        <v>0</v>
      </c>
      <c r="AE122" s="168">
        <f ca="1">IF($C122-AE$1&lt;År1,0,AD121*(1-VLOOKUP($A122,[1]Hugst!$R$5:$W$9,MATCH(ROUNDUP((AE$1)/10,0)*10,[1]Hugst!$R$4:$W$4,0))))</f>
        <v>0</v>
      </c>
      <c r="AF122" s="168">
        <f ca="1">IF($C122-AF$1&lt;År1,0,AE121*(1-VLOOKUP($A122,[1]Hugst!$R$5:$W$9,MATCH(ROUNDUP((AF$1)/10,0)*10,[1]Hugst!$R$4:$W$4,0))))</f>
        <v>0</v>
      </c>
      <c r="AG122" s="168">
        <f ca="1">IF($C122-AG$1&lt;År1,0,AF121*(1-VLOOKUP($A122,[1]Hugst!$R$5:$W$9,MATCH(ROUNDUP((AG$1)/10,0)*10,[1]Hugst!$R$4:$W$4,0))))</f>
        <v>0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*VLOOKUP(A123,Skovbrug!$A$13:$D$17,IF('Skovbrug-alder'!C123&lt;=År2,3,4),FALSE)-IF(C123&gt;2020,SUM(INDEX($C$1:$D$311,MATCH(1,(2020=$C$1:$C$311)*(B123=$B$1:$B$311)*(A123=$A$1:$A$311),0),2):D122),0))</f>
        <v>0</v>
      </c>
      <c r="E123" s="168">
        <f t="shared" ca="1" si="2"/>
        <v>0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8">
        <f ca="1">IF($C123-G$1&lt;År1,0,F122*(1-VLOOKUP($A123,[1]Hugst!$R$5:$W$9,MATCH(ROUNDUP((G$1)/10,0)*10,[1]Hugst!$R$4:$W$4,0))))</f>
        <v>0</v>
      </c>
      <c r="H123" s="168">
        <f ca="1">IF($C123-H$1&lt;År1,0,G122*(1-VLOOKUP($A123,[1]Hugst!$R$5:$W$9,MATCH(ROUNDUP((H$1)/10,0)*10,[1]Hugst!$R$4:$W$4,0))))</f>
        <v>0</v>
      </c>
      <c r="I123" s="168">
        <f ca="1">IF($C123-I$1&lt;År1,0,H122*(1-VLOOKUP($A123,[1]Hugst!$R$5:$W$9,MATCH(ROUNDUP((I$1)/10,0)*10,[1]Hugst!$R$4:$W$4,0))))</f>
        <v>0</v>
      </c>
      <c r="J123" s="168">
        <f ca="1">IF($C123-J$1&lt;År1,0,I122*(1-VLOOKUP($A123,[1]Hugst!$R$5:$W$9,MATCH(ROUNDUP((J$1)/10,0)*10,[1]Hugst!$R$4:$W$4,0))))</f>
        <v>0</v>
      </c>
      <c r="K123" s="168">
        <f ca="1">IF($C123-K$1&lt;År1,0,J122*(1-VLOOKUP($A123,[1]Hugst!$R$5:$W$9,MATCH(ROUNDUP((K$1)/10,0)*10,[1]Hugst!$R$4:$W$4,0))))</f>
        <v>0</v>
      </c>
      <c r="L123" s="168">
        <f ca="1">IF($C123-L$1&lt;År1,0,K122*(1-VLOOKUP($A123,[1]Hugst!$R$5:$W$9,MATCH(ROUNDUP((L$1)/10,0)*10,[1]Hugst!$R$4:$W$4,0))))</f>
        <v>0</v>
      </c>
      <c r="M123" s="168">
        <f ca="1">IF($C123-M$1&lt;År1,0,L122*(1-VLOOKUP($A123,[1]Hugst!$R$5:$W$9,MATCH(ROUNDUP((M$1)/10,0)*10,[1]Hugst!$R$4:$W$4,0))))</f>
        <v>0</v>
      </c>
      <c r="N123" s="168">
        <f ca="1">IF($C123-N$1&lt;År1,0,M122*(1-VLOOKUP($A123,[1]Hugst!$R$5:$W$9,MATCH(ROUNDUP((N$1)/10,0)*10,[1]Hugst!$R$4:$W$4,0))))</f>
        <v>0</v>
      </c>
      <c r="O123" s="168">
        <f ca="1">IF($C123-O$1&lt;År1,0,N122*(1-VLOOKUP($A123,[1]Hugst!$R$5:$W$9,MATCH(ROUNDUP((O$1)/10,0)*10,[1]Hugst!$R$4:$W$4,0))))</f>
        <v>0</v>
      </c>
      <c r="P123" s="168">
        <f ca="1">IF($C123-P$1&lt;År1,0,O122*(1-VLOOKUP($A123,[1]Hugst!$R$5:$W$9,MATCH(ROUNDUP((P$1)/10,0)*10,[1]Hugst!$R$4:$W$4,0))))</f>
        <v>0</v>
      </c>
      <c r="Q123" s="168">
        <f ca="1">IF($C123-Q$1&lt;År1,0,P122*(1-VLOOKUP($A123,[1]Hugst!$R$5:$W$9,MATCH(ROUNDUP((Q$1)/10,0)*10,[1]Hugst!$R$4:$W$4,0))))</f>
        <v>0</v>
      </c>
      <c r="R123" s="168">
        <f ca="1">IF($C123-R$1&lt;År1,0,Q122*(1-VLOOKUP($A123,[1]Hugst!$R$5:$W$9,MATCH(ROUNDUP((R$1)/10,0)*10,[1]Hugst!$R$4:$W$4,0))))</f>
        <v>0</v>
      </c>
      <c r="S123" s="168">
        <f ca="1">IF($C123-S$1&lt;År1,0,R122*(1-VLOOKUP($A123,[1]Hugst!$R$5:$W$9,MATCH(ROUNDUP((S$1)/10,0)*10,[1]Hugst!$R$4:$W$4,0))))</f>
        <v>0</v>
      </c>
      <c r="T123" s="168">
        <f ca="1">IF($C123-T$1&lt;År1,0,S122*(1-VLOOKUP($A123,[1]Hugst!$R$5:$W$9,MATCH(ROUNDUP((T$1)/10,0)*10,[1]Hugst!$R$4:$W$4,0))))</f>
        <v>0</v>
      </c>
      <c r="U123" s="168">
        <f ca="1">IF($C123-U$1&lt;År1,0,T122*(1-VLOOKUP($A123,[1]Hugst!$R$5:$W$9,MATCH(ROUNDUP((U$1)/10,0)*10,[1]Hugst!$R$4:$W$4,0))))</f>
        <v>0</v>
      </c>
      <c r="V123" s="168">
        <f ca="1">IF($C123-V$1&lt;År1,0,U122*(1-VLOOKUP($A123,[1]Hugst!$R$5:$W$9,MATCH(ROUNDUP((V$1)/10,0)*10,[1]Hugst!$R$4:$W$4,0))))</f>
        <v>0</v>
      </c>
      <c r="W123" s="168">
        <f ca="1">IF($C123-W$1&lt;År1,0,V122*(1-VLOOKUP($A123,[1]Hugst!$R$5:$W$9,MATCH(ROUNDUP((W$1)/10,0)*10,[1]Hugst!$R$4:$W$4,0))))</f>
        <v>0</v>
      </c>
      <c r="X123" s="168">
        <f ca="1">IF($C123-X$1&lt;År1,0,W122*(1-VLOOKUP($A123,[1]Hugst!$R$5:$W$9,MATCH(ROUNDUP((X$1)/10,0)*10,[1]Hugst!$R$4:$W$4,0))))</f>
        <v>0</v>
      </c>
      <c r="Y123" s="168">
        <f ca="1">IF($C123-Y$1&lt;År1,0,X122*(1-VLOOKUP($A123,[1]Hugst!$R$5:$W$9,MATCH(ROUNDUP((Y$1)/10,0)*10,[1]Hugst!$R$4:$W$4,0))))</f>
        <v>0</v>
      </c>
      <c r="Z123" s="168">
        <f ca="1">IF($C123-Z$1&lt;År1,0,Y122*(1-VLOOKUP($A123,[1]Hugst!$R$5:$W$9,MATCH(ROUNDUP((Z$1)/10,0)*10,[1]Hugst!$R$4:$W$4,0))))</f>
        <v>0</v>
      </c>
      <c r="AA123" s="168">
        <f ca="1">IF($C123-AA$1&lt;År1,0,Z122*(1-VLOOKUP($A123,[1]Hugst!$R$5:$W$9,MATCH(ROUNDUP((AA$1)/10,0)*10,[1]Hugst!$R$4:$W$4,0))))</f>
        <v>0</v>
      </c>
      <c r="AB123" s="168">
        <f ca="1">IF($C123-AB$1&lt;År1,0,AA122*(1-VLOOKUP($A123,[1]Hugst!$R$5:$W$9,MATCH(ROUNDUP((AB$1)/10,0)*10,[1]Hugst!$R$4:$W$4,0))))</f>
        <v>0</v>
      </c>
      <c r="AC123" s="168">
        <f ca="1">IF($C123-AC$1&lt;År1,0,AB122*(1-VLOOKUP($A123,[1]Hugst!$R$5:$W$9,MATCH(ROUNDUP((AC$1)/10,0)*10,[1]Hugst!$R$4:$W$4,0))))</f>
        <v>0</v>
      </c>
      <c r="AD123" s="168">
        <f ca="1">IF($C123-AD$1&lt;År1,0,AC122*(1-VLOOKUP($A123,[1]Hugst!$R$5:$W$9,MATCH(ROUNDUP((AD$1)/10,0)*10,[1]Hugst!$R$4:$W$4,0))))</f>
        <v>0</v>
      </c>
      <c r="AE123" s="168">
        <f ca="1">IF($C123-AE$1&lt;År1,0,AD122*(1-VLOOKUP($A123,[1]Hugst!$R$5:$W$9,MATCH(ROUNDUP((AE$1)/10,0)*10,[1]Hugst!$R$4:$W$4,0))))</f>
        <v>0</v>
      </c>
      <c r="AF123" s="168">
        <f ca="1">IF($C123-AF$1&lt;År1,0,AE122*(1-VLOOKUP($A123,[1]Hugst!$R$5:$W$9,MATCH(ROUNDUP((AF$1)/10,0)*10,[1]Hugst!$R$4:$W$4,0))))</f>
        <v>0</v>
      </c>
      <c r="AG123" s="168">
        <f ca="1">IF($C123-AG$1&lt;År1,0,AF122*(1-VLOOKUP($A123,[1]Hugst!$R$5:$W$9,MATCH(ROUNDUP((AG$1)/10,0)*10,[1]Hugst!$R$4:$W$4,0))))</f>
        <v>0</v>
      </c>
      <c r="AH123" s="168">
        <f ca="1">IF($C123-AH$1&lt;År1,0,AG122*(1-VLOOKUP($A123,[1]Hugst!$R$5:$W$9,MATCH(ROUNDUP((AH$1)/10,0)*10,[1]Hugst!$R$4:$W$4,0))))</f>
        <v>0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*VLOOKUP(A124,Skovbrug!$A$13:$D$17,IF('Skovbrug-alder'!C124&lt;=År2,3,4),FALSE)-IF(C124&gt;2020,SUM(INDEX($C$1:$D$311,MATCH(1,(2020=$C$1:$C$311)*(B124=$B$1:$B$311)*(A124=$A$1:$A$311),0),2):D123),0))</f>
        <v>0</v>
      </c>
      <c r="E124" s="168">
        <f t="shared" ca="1" si="2"/>
        <v>0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8">
        <f ca="1">IF($C124-G$1&lt;År1,0,F123*(1-VLOOKUP($A124,[1]Hugst!$R$5:$W$9,MATCH(ROUNDUP((G$1)/10,0)*10,[1]Hugst!$R$4:$W$4,0))))</f>
        <v>0</v>
      </c>
      <c r="H124" s="168">
        <f ca="1">IF($C124-H$1&lt;År1,0,G123*(1-VLOOKUP($A124,[1]Hugst!$R$5:$W$9,MATCH(ROUNDUP((H$1)/10,0)*10,[1]Hugst!$R$4:$W$4,0))))</f>
        <v>0</v>
      </c>
      <c r="I124" s="168">
        <f ca="1">IF($C124-I$1&lt;År1,0,H123*(1-VLOOKUP($A124,[1]Hugst!$R$5:$W$9,MATCH(ROUNDUP((I$1)/10,0)*10,[1]Hugst!$R$4:$W$4,0))))</f>
        <v>0</v>
      </c>
      <c r="J124" s="168">
        <f ca="1">IF($C124-J$1&lt;År1,0,I123*(1-VLOOKUP($A124,[1]Hugst!$R$5:$W$9,MATCH(ROUNDUP((J$1)/10,0)*10,[1]Hugst!$R$4:$W$4,0))))</f>
        <v>0</v>
      </c>
      <c r="K124" s="168">
        <f ca="1">IF($C124-K$1&lt;År1,0,J123*(1-VLOOKUP($A124,[1]Hugst!$R$5:$W$9,MATCH(ROUNDUP((K$1)/10,0)*10,[1]Hugst!$R$4:$W$4,0))))</f>
        <v>0</v>
      </c>
      <c r="L124" s="168">
        <f ca="1">IF($C124-L$1&lt;År1,0,K123*(1-VLOOKUP($A124,[1]Hugst!$R$5:$W$9,MATCH(ROUNDUP((L$1)/10,0)*10,[1]Hugst!$R$4:$W$4,0))))</f>
        <v>0</v>
      </c>
      <c r="M124" s="168">
        <f ca="1">IF($C124-M$1&lt;År1,0,L123*(1-VLOOKUP($A124,[1]Hugst!$R$5:$W$9,MATCH(ROUNDUP((M$1)/10,0)*10,[1]Hugst!$R$4:$W$4,0))))</f>
        <v>0</v>
      </c>
      <c r="N124" s="168">
        <f ca="1">IF($C124-N$1&lt;År1,0,M123*(1-VLOOKUP($A124,[1]Hugst!$R$5:$W$9,MATCH(ROUNDUP((N$1)/10,0)*10,[1]Hugst!$R$4:$W$4,0))))</f>
        <v>0</v>
      </c>
      <c r="O124" s="168">
        <f ca="1">IF($C124-O$1&lt;År1,0,N123*(1-VLOOKUP($A124,[1]Hugst!$R$5:$W$9,MATCH(ROUNDUP((O$1)/10,0)*10,[1]Hugst!$R$4:$W$4,0))))</f>
        <v>0</v>
      </c>
      <c r="P124" s="168">
        <f ca="1">IF($C124-P$1&lt;År1,0,O123*(1-VLOOKUP($A124,[1]Hugst!$R$5:$W$9,MATCH(ROUNDUP((P$1)/10,0)*10,[1]Hugst!$R$4:$W$4,0))))</f>
        <v>0</v>
      </c>
      <c r="Q124" s="168">
        <f ca="1">IF($C124-Q$1&lt;År1,0,P123*(1-VLOOKUP($A124,[1]Hugst!$R$5:$W$9,MATCH(ROUNDUP((Q$1)/10,0)*10,[1]Hugst!$R$4:$W$4,0))))</f>
        <v>0</v>
      </c>
      <c r="R124" s="168">
        <f ca="1">IF($C124-R$1&lt;År1,0,Q123*(1-VLOOKUP($A124,[1]Hugst!$R$5:$W$9,MATCH(ROUNDUP((R$1)/10,0)*10,[1]Hugst!$R$4:$W$4,0))))</f>
        <v>0</v>
      </c>
      <c r="S124" s="168">
        <f ca="1">IF($C124-S$1&lt;År1,0,R123*(1-VLOOKUP($A124,[1]Hugst!$R$5:$W$9,MATCH(ROUNDUP((S$1)/10,0)*10,[1]Hugst!$R$4:$W$4,0))))</f>
        <v>0</v>
      </c>
      <c r="T124" s="168">
        <f ca="1">IF($C124-T$1&lt;År1,0,S123*(1-VLOOKUP($A124,[1]Hugst!$R$5:$W$9,MATCH(ROUNDUP((T$1)/10,0)*10,[1]Hugst!$R$4:$W$4,0))))</f>
        <v>0</v>
      </c>
      <c r="U124" s="168">
        <f ca="1">IF($C124-U$1&lt;År1,0,T123*(1-VLOOKUP($A124,[1]Hugst!$R$5:$W$9,MATCH(ROUNDUP((U$1)/10,0)*10,[1]Hugst!$R$4:$W$4,0))))</f>
        <v>0</v>
      </c>
      <c r="V124" s="168">
        <f ca="1">IF($C124-V$1&lt;År1,0,U123*(1-VLOOKUP($A124,[1]Hugst!$R$5:$W$9,MATCH(ROUNDUP((V$1)/10,0)*10,[1]Hugst!$R$4:$W$4,0))))</f>
        <v>0</v>
      </c>
      <c r="W124" s="168">
        <f ca="1">IF($C124-W$1&lt;År1,0,V123*(1-VLOOKUP($A124,[1]Hugst!$R$5:$W$9,MATCH(ROUNDUP((W$1)/10,0)*10,[1]Hugst!$R$4:$W$4,0))))</f>
        <v>0</v>
      </c>
      <c r="X124" s="168">
        <f ca="1">IF($C124-X$1&lt;År1,0,W123*(1-VLOOKUP($A124,[1]Hugst!$R$5:$W$9,MATCH(ROUNDUP((X$1)/10,0)*10,[1]Hugst!$R$4:$W$4,0))))</f>
        <v>0</v>
      </c>
      <c r="Y124" s="168">
        <f ca="1">IF($C124-Y$1&lt;År1,0,X123*(1-VLOOKUP($A124,[1]Hugst!$R$5:$W$9,MATCH(ROUNDUP((Y$1)/10,0)*10,[1]Hugst!$R$4:$W$4,0))))</f>
        <v>0</v>
      </c>
      <c r="Z124" s="168">
        <f ca="1">IF($C124-Z$1&lt;År1,0,Y123*(1-VLOOKUP($A124,[1]Hugst!$R$5:$W$9,MATCH(ROUNDUP((Z$1)/10,0)*10,[1]Hugst!$R$4:$W$4,0))))</f>
        <v>0</v>
      </c>
      <c r="AA124" s="168">
        <f ca="1">IF($C124-AA$1&lt;År1,0,Z123*(1-VLOOKUP($A124,[1]Hugst!$R$5:$W$9,MATCH(ROUNDUP((AA$1)/10,0)*10,[1]Hugst!$R$4:$W$4,0))))</f>
        <v>0</v>
      </c>
      <c r="AB124" s="168">
        <f ca="1">IF($C124-AB$1&lt;År1,0,AA123*(1-VLOOKUP($A124,[1]Hugst!$R$5:$W$9,MATCH(ROUNDUP((AB$1)/10,0)*10,[1]Hugst!$R$4:$W$4,0))))</f>
        <v>0</v>
      </c>
      <c r="AC124" s="168">
        <f ca="1">IF($C124-AC$1&lt;År1,0,AB123*(1-VLOOKUP($A124,[1]Hugst!$R$5:$W$9,MATCH(ROUNDUP((AC$1)/10,0)*10,[1]Hugst!$R$4:$W$4,0))))</f>
        <v>0</v>
      </c>
      <c r="AD124" s="168">
        <f ca="1">IF($C124-AD$1&lt;År1,0,AC123*(1-VLOOKUP($A124,[1]Hugst!$R$5:$W$9,MATCH(ROUNDUP((AD$1)/10,0)*10,[1]Hugst!$R$4:$W$4,0))))</f>
        <v>0</v>
      </c>
      <c r="AE124" s="168">
        <f ca="1">IF($C124-AE$1&lt;År1,0,AD123*(1-VLOOKUP($A124,[1]Hugst!$R$5:$W$9,MATCH(ROUNDUP((AE$1)/10,0)*10,[1]Hugst!$R$4:$W$4,0))))</f>
        <v>0</v>
      </c>
      <c r="AF124" s="168">
        <f ca="1">IF($C124-AF$1&lt;År1,0,AE123*(1-VLOOKUP($A124,[1]Hugst!$R$5:$W$9,MATCH(ROUNDUP((AF$1)/10,0)*10,[1]Hugst!$R$4:$W$4,0))))</f>
        <v>0</v>
      </c>
      <c r="AG124" s="168">
        <f ca="1">IF($C124-AG$1&lt;År1,0,AF123*(1-VLOOKUP($A124,[1]Hugst!$R$5:$W$9,MATCH(ROUNDUP((AG$1)/10,0)*10,[1]Hugst!$R$4:$W$4,0))))</f>
        <v>0</v>
      </c>
      <c r="AH124" s="168">
        <f ca="1">IF($C124-AH$1&lt;År1,0,AG123*(1-VLOOKUP($A124,[1]Hugst!$R$5:$W$9,MATCH(ROUNDUP((AH$1)/10,0)*10,[1]Hugst!$R$4:$W$4,0))))</f>
        <v>0</v>
      </c>
      <c r="AI124" s="168">
        <f ca="1">IF($C124-AI$1&lt;År1,0,AH123*(1-VLOOKUP($A124,[1]Hugst!$R$5:$W$9,MATCH(ROUNDUP((AI$1)/10,0)*10,[1]Hugst!$R$4:$W$4,0))))</f>
        <v>0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*VLOOKUP(A125,Skovbrug!$A$13:$D$17,IF('Skovbrug-alder'!C125&lt;=År2,3,4),FALSE)-IF(C125&gt;2020,SUM(INDEX($C$1:$D$311,MATCH(1,(2020=$C$1:$C$311)*(B125=$B$1:$B$311)*(A125=$A$1:$A$311),0),2):D124),0))</f>
        <v>0</v>
      </c>
      <c r="E125" s="168">
        <f ca="1">IF(C125=2020,SUM(G125:AJ125),SUM(F124:AJ124)-SUM(G125:AJ125))</f>
        <v>0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8">
        <f ca="1">IF($C125-G$1&lt;År1,0,F124*(1-VLOOKUP($A125,[1]Hugst!$R$5:$W$9,MATCH(ROUNDUP((G$1)/10,0)*10,[1]Hugst!$R$4:$W$4,0))))</f>
        <v>0</v>
      </c>
      <c r="H125" s="168">
        <f ca="1">IF($C125-H$1&lt;År1,0,G124*(1-VLOOKUP($A125,[1]Hugst!$R$5:$W$9,MATCH(ROUNDUP((H$1)/10,0)*10,[1]Hugst!$R$4:$W$4,0))))</f>
        <v>0</v>
      </c>
      <c r="I125" s="168">
        <f ca="1">IF($C125-I$1&lt;År1,0,H124*(1-VLOOKUP($A125,[1]Hugst!$R$5:$W$9,MATCH(ROUNDUP((I$1)/10,0)*10,[1]Hugst!$R$4:$W$4,0))))</f>
        <v>0</v>
      </c>
      <c r="J125" s="168">
        <f ca="1">IF($C125-J$1&lt;År1,0,I124*(1-VLOOKUP($A125,[1]Hugst!$R$5:$W$9,MATCH(ROUNDUP((J$1)/10,0)*10,[1]Hugst!$R$4:$W$4,0))))</f>
        <v>0</v>
      </c>
      <c r="K125" s="168">
        <f ca="1">IF($C125-K$1&lt;År1,0,J124*(1-VLOOKUP($A125,[1]Hugst!$R$5:$W$9,MATCH(ROUNDUP((K$1)/10,0)*10,[1]Hugst!$R$4:$W$4,0))))</f>
        <v>0</v>
      </c>
      <c r="L125" s="168">
        <f ca="1">IF($C125-L$1&lt;År1,0,K124*(1-VLOOKUP($A125,[1]Hugst!$R$5:$W$9,MATCH(ROUNDUP((L$1)/10,0)*10,[1]Hugst!$R$4:$W$4,0))))</f>
        <v>0</v>
      </c>
      <c r="M125" s="168">
        <f ca="1">IF($C125-M$1&lt;År1,0,L124*(1-VLOOKUP($A125,[1]Hugst!$R$5:$W$9,MATCH(ROUNDUP((M$1)/10,0)*10,[1]Hugst!$R$4:$W$4,0))))</f>
        <v>0</v>
      </c>
      <c r="N125" s="168">
        <f ca="1">IF($C125-N$1&lt;År1,0,M124*(1-VLOOKUP($A125,[1]Hugst!$R$5:$W$9,MATCH(ROUNDUP((N$1)/10,0)*10,[1]Hugst!$R$4:$W$4,0))))</f>
        <v>0</v>
      </c>
      <c r="O125" s="168">
        <f ca="1">IF($C125-O$1&lt;År1,0,N124*(1-VLOOKUP($A125,[1]Hugst!$R$5:$W$9,MATCH(ROUNDUP((O$1)/10,0)*10,[1]Hugst!$R$4:$W$4,0))))</f>
        <v>0</v>
      </c>
      <c r="P125" s="168">
        <f ca="1">IF($C125-P$1&lt;År1,0,O124*(1-VLOOKUP($A125,[1]Hugst!$R$5:$W$9,MATCH(ROUNDUP((P$1)/10,0)*10,[1]Hugst!$R$4:$W$4,0))))</f>
        <v>0</v>
      </c>
      <c r="Q125" s="168">
        <f ca="1">IF($C125-Q$1&lt;År1,0,P124*(1-VLOOKUP($A125,[1]Hugst!$R$5:$W$9,MATCH(ROUNDUP((Q$1)/10,0)*10,[1]Hugst!$R$4:$W$4,0))))</f>
        <v>0</v>
      </c>
      <c r="R125" s="168">
        <f ca="1">IF($C125-R$1&lt;År1,0,Q124*(1-VLOOKUP($A125,[1]Hugst!$R$5:$W$9,MATCH(ROUNDUP((R$1)/10,0)*10,[1]Hugst!$R$4:$W$4,0))))</f>
        <v>0</v>
      </c>
      <c r="S125" s="168">
        <f ca="1">IF($C125-S$1&lt;År1,0,R124*(1-VLOOKUP($A125,[1]Hugst!$R$5:$W$9,MATCH(ROUNDUP((S$1)/10,0)*10,[1]Hugst!$R$4:$W$4,0))))</f>
        <v>0</v>
      </c>
      <c r="T125" s="168">
        <f ca="1">IF($C125-T$1&lt;År1,0,S124*(1-VLOOKUP($A125,[1]Hugst!$R$5:$W$9,MATCH(ROUNDUP((T$1)/10,0)*10,[1]Hugst!$R$4:$W$4,0))))</f>
        <v>0</v>
      </c>
      <c r="U125" s="168">
        <f ca="1">IF($C125-U$1&lt;År1,0,T124*(1-VLOOKUP($A125,[1]Hugst!$R$5:$W$9,MATCH(ROUNDUP((U$1)/10,0)*10,[1]Hugst!$R$4:$W$4,0))))</f>
        <v>0</v>
      </c>
      <c r="V125" s="168">
        <f ca="1">IF($C125-V$1&lt;År1,0,U124*(1-VLOOKUP($A125,[1]Hugst!$R$5:$W$9,MATCH(ROUNDUP((V$1)/10,0)*10,[1]Hugst!$R$4:$W$4,0))))</f>
        <v>0</v>
      </c>
      <c r="W125" s="168">
        <f ca="1">IF($C125-W$1&lt;År1,0,V124*(1-VLOOKUP($A125,[1]Hugst!$R$5:$W$9,MATCH(ROUNDUP((W$1)/10,0)*10,[1]Hugst!$R$4:$W$4,0))))</f>
        <v>0</v>
      </c>
      <c r="X125" s="168">
        <f ca="1">IF($C125-X$1&lt;År1,0,W124*(1-VLOOKUP($A125,[1]Hugst!$R$5:$W$9,MATCH(ROUNDUP((X$1)/10,0)*10,[1]Hugst!$R$4:$W$4,0))))</f>
        <v>0</v>
      </c>
      <c r="Y125" s="168">
        <f ca="1">IF($C125-Y$1&lt;År1,0,X124*(1-VLOOKUP($A125,[1]Hugst!$R$5:$W$9,MATCH(ROUNDUP((Y$1)/10,0)*10,[1]Hugst!$R$4:$W$4,0))))</f>
        <v>0</v>
      </c>
      <c r="Z125" s="168">
        <f ca="1">IF($C125-Z$1&lt;År1,0,Y124*(1-VLOOKUP($A125,[1]Hugst!$R$5:$W$9,MATCH(ROUNDUP((Z$1)/10,0)*10,[1]Hugst!$R$4:$W$4,0))))</f>
        <v>0</v>
      </c>
      <c r="AA125" s="168">
        <f ca="1">IF($C125-AA$1&lt;År1,0,Z124*(1-VLOOKUP($A125,[1]Hugst!$R$5:$W$9,MATCH(ROUNDUP((AA$1)/10,0)*10,[1]Hugst!$R$4:$W$4,0))))</f>
        <v>0</v>
      </c>
      <c r="AB125" s="168">
        <f ca="1">IF($C125-AB$1&lt;År1,0,AA124*(1-VLOOKUP($A125,[1]Hugst!$R$5:$W$9,MATCH(ROUNDUP((AB$1)/10,0)*10,[1]Hugst!$R$4:$W$4,0))))</f>
        <v>0</v>
      </c>
      <c r="AC125" s="168">
        <f ca="1">IF($C125-AC$1&lt;År1,0,AB124*(1-VLOOKUP($A125,[1]Hugst!$R$5:$W$9,MATCH(ROUNDUP((AC$1)/10,0)*10,[1]Hugst!$R$4:$W$4,0))))</f>
        <v>0</v>
      </c>
      <c r="AD125" s="168">
        <f ca="1">IF($C125-AD$1&lt;År1,0,AC124*(1-VLOOKUP($A125,[1]Hugst!$R$5:$W$9,MATCH(ROUNDUP((AD$1)/10,0)*10,[1]Hugst!$R$4:$W$4,0))))</f>
        <v>0</v>
      </c>
      <c r="AE125" s="168">
        <f ca="1">IF($C125-AE$1&lt;År1,0,AD124*(1-VLOOKUP($A125,[1]Hugst!$R$5:$W$9,MATCH(ROUNDUP((AE$1)/10,0)*10,[1]Hugst!$R$4:$W$4,0))))</f>
        <v>0</v>
      </c>
      <c r="AF125" s="168">
        <f ca="1">IF($C125-AF$1&lt;År1,0,AE124*(1-VLOOKUP($A125,[1]Hugst!$R$5:$W$9,MATCH(ROUNDUP((AF$1)/10,0)*10,[1]Hugst!$R$4:$W$4,0))))</f>
        <v>0</v>
      </c>
      <c r="AG125" s="168">
        <f ca="1">IF($C125-AG$1&lt;År1,0,AF124*(1-VLOOKUP($A125,[1]Hugst!$R$5:$W$9,MATCH(ROUNDUP((AG$1)/10,0)*10,[1]Hugst!$R$4:$W$4,0))))</f>
        <v>0</v>
      </c>
      <c r="AH125" s="168">
        <f ca="1">IF($C125-AH$1&lt;År1,0,AG124*(1-VLOOKUP($A125,[1]Hugst!$R$5:$W$9,MATCH(ROUNDUP((AH$1)/10,0)*10,[1]Hugst!$R$4:$W$4,0))))</f>
        <v>0</v>
      </c>
      <c r="AI125" s="168">
        <f ca="1">IF($C125-AI$1&lt;År1,0,AH124*(1-VLOOKUP($A125,[1]Hugst!$R$5:$W$9,MATCH(ROUNDUP((AI$1)/10,0)*10,[1]Hugst!$R$4:$W$4,0))))</f>
        <v>0</v>
      </c>
      <c r="AJ125" s="168">
        <f ca="1">IF($C125-AJ$1&lt;År1,0,AI124*(1-VLOOKUP($A125,[1]Hugst!$R$5:$W$9,MATCH(ROUNDUP((AJ$1)/10,0)*10,[1]Hugst!$R$4:$W$4,0))))</f>
        <v>0</v>
      </c>
      <c r="AL125" s="168">
        <f ca="1">SUM(F125:AJ125)</f>
        <v>0</v>
      </c>
    </row>
    <row r="126" spans="1:38" x14ac:dyDescent="0.25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*VLOOKUP(A126,Skovbrug!$A$13:$D$17,IF('Skovbrug-alder'!C126&lt;=År2,3,4),FALSE)-IF(C126&gt;2020,SUM(INDEX($C$1:$D$311,MATCH(1,(2020=$C$1:$C$311)*(B126=$B$1:$B$311)*(A126=$A$1:$A$311),0),2):D125),0)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*VLOOKUP(A127,Skovbrug!$A$13:$D$17,IF('Skovbrug-alder'!C127&lt;=År2,3,4),FALSE)-IF(C127&gt;2020,SUM(INDEX($C$1:$D$311,MATCH(1,(2020=$C$1:$C$311)*(B127=$B$1:$B$311)*(A127=$A$1:$A$311),0),2):D126),0))</f>
        <v>0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8">
        <f ca="1">IF($C127-G$1&lt;År1,0,F126*(1-VLOOKUP($A127,[1]Hugst!$R$5:$W$9,MATCH(ROUNDUP((G$1)/10,0)*10,[1]Hugst!$R$4:$W$4,0))))</f>
        <v>0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481469.23000787059</v>
      </c>
    </row>
    <row r="128" spans="1:38" x14ac:dyDescent="0.25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*VLOOKUP(A128,Skovbrug!$A$13:$D$17,IF('Skovbrug-alder'!C128&lt;=År2,3,4),FALSE)-IF(C128&gt;2020,SUM(INDEX($C$1:$D$311,MATCH(1,(2020=$C$1:$C$311)*(B128=$B$1:$B$311)*(A128=$A$1:$A$311),0),2):D127),0))</f>
        <v>0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8">
        <f ca="1">IF($C128-G$1&lt;År1,0,F127*(1-VLOOKUP($A128,[1]Hugst!$R$5:$W$9,MATCH(ROUNDUP((G$1)/10,0)*10,[1]Hugst!$R$4:$W$4,0))))</f>
        <v>0</v>
      </c>
      <c r="H128" s="168">
        <f ca="1">IF($C128-H$1&lt;År1,0,G127*(1-VLOOKUP($A128,[1]Hugst!$R$5:$W$9,MATCH(ROUNDUP((H$1)/10,0)*10,[1]Hugst!$R$4:$W$4,0))))</f>
        <v>0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*VLOOKUP(A129,Skovbrug!$A$13:$D$17,IF('Skovbrug-alder'!C129&lt;=År2,3,4),FALSE)-IF(C129&gt;2020,SUM(INDEX($C$1:$D$311,MATCH(1,(2020=$C$1:$C$311)*(B129=$B$1:$B$311)*(A129=$A$1:$A$311),0),2):D128),0))</f>
        <v>0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8">
        <f ca="1">IF($C129-G$1&lt;År1,0,F128*(1-VLOOKUP($A129,[1]Hugst!$R$5:$W$9,MATCH(ROUNDUP((G$1)/10,0)*10,[1]Hugst!$R$4:$W$4,0))))</f>
        <v>0</v>
      </c>
      <c r="H129" s="168">
        <f ca="1">IF($C129-H$1&lt;År1,0,G128*(1-VLOOKUP($A129,[1]Hugst!$R$5:$W$9,MATCH(ROUNDUP((H$1)/10,0)*10,[1]Hugst!$R$4:$W$4,0))))</f>
        <v>0</v>
      </c>
      <c r="I129" s="168">
        <f ca="1">IF($C129-I$1&lt;År1,0,H128*(1-VLOOKUP($A129,[1]Hugst!$R$5:$W$9,MATCH(ROUNDUP((I$1)/10,0)*10,[1]Hugst!$R$4:$W$4,0))))</f>
        <v>0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*VLOOKUP(A130,Skovbrug!$A$13:$D$17,IF('Skovbrug-alder'!C130&lt;=År2,3,4),FALSE)-IF(C130&gt;2020,SUM(INDEX($C$1:$D$311,MATCH(1,(2020=$C$1:$C$311)*(B130=$B$1:$B$311)*(A130=$A$1:$A$311),0),2):D129),0))</f>
        <v>0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8">
        <f ca="1">IF($C130-G$1&lt;År1,0,F129*(1-VLOOKUP($A130,[1]Hugst!$R$5:$W$9,MATCH(ROUNDUP((G$1)/10,0)*10,[1]Hugst!$R$4:$W$4,0))))</f>
        <v>0</v>
      </c>
      <c r="H130" s="168">
        <f ca="1">IF($C130-H$1&lt;År1,0,G129*(1-VLOOKUP($A130,[1]Hugst!$R$5:$W$9,MATCH(ROUNDUP((H$1)/10,0)*10,[1]Hugst!$R$4:$W$4,0))))</f>
        <v>0</v>
      </c>
      <c r="I130" s="168">
        <f ca="1">IF($C130-I$1&lt;År1,0,H129*(1-VLOOKUP($A130,[1]Hugst!$R$5:$W$9,MATCH(ROUNDUP((I$1)/10,0)*10,[1]Hugst!$R$4:$W$4,0))))</f>
        <v>0</v>
      </c>
      <c r="J130" s="168">
        <f ca="1">IF($C130-J$1&lt;År1,0,I129*(1-VLOOKUP($A130,[1]Hugst!$R$5:$W$9,MATCH(ROUNDUP((J$1)/10,0)*10,[1]Hugst!$R$4:$W$4,0))))</f>
        <v>0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*VLOOKUP(A131,Skovbrug!$A$13:$D$17,IF('Skovbrug-alder'!C131&lt;=År2,3,4),FALSE)-IF(C131&gt;2020,SUM(INDEX($C$1:$D$311,MATCH(1,(2020=$C$1:$C$311)*(B131=$B$1:$B$311)*(A131=$A$1:$A$311),0),2):D130),0))</f>
        <v>0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8">
        <f ca="1">IF($C131-G$1&lt;År1,0,F130*(1-VLOOKUP($A131,[1]Hugst!$R$5:$W$9,MATCH(ROUNDUP((G$1)/10,0)*10,[1]Hugst!$R$4:$W$4,0))))</f>
        <v>0</v>
      </c>
      <c r="H131" s="168">
        <f ca="1">IF($C131-H$1&lt;År1,0,G130*(1-VLOOKUP($A131,[1]Hugst!$R$5:$W$9,MATCH(ROUNDUP((H$1)/10,0)*10,[1]Hugst!$R$4:$W$4,0))))</f>
        <v>0</v>
      </c>
      <c r="I131" s="168">
        <f ca="1">IF($C131-I$1&lt;År1,0,H130*(1-VLOOKUP($A131,[1]Hugst!$R$5:$W$9,MATCH(ROUNDUP((I$1)/10,0)*10,[1]Hugst!$R$4:$W$4,0))))</f>
        <v>0</v>
      </c>
      <c r="J131" s="168">
        <f ca="1">IF($C131-J$1&lt;År1,0,I130*(1-VLOOKUP($A131,[1]Hugst!$R$5:$W$9,MATCH(ROUNDUP((J$1)/10,0)*10,[1]Hugst!$R$4:$W$4,0))))</f>
        <v>0</v>
      </c>
      <c r="K131" s="168">
        <f ca="1">IF($C131-K$1&lt;År1,0,J130*(1-VLOOKUP($A131,[1]Hugst!$R$5:$W$9,MATCH(ROUNDUP((K$1)/10,0)*10,[1]Hugst!$R$4:$W$4,0))))</f>
        <v>0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*VLOOKUP(A132,Skovbrug!$A$13:$D$17,IF('Skovbrug-alder'!C132&lt;=År2,3,4),FALSE)-IF(C132&gt;2020,SUM(INDEX($C$1:$D$311,MATCH(1,(2020=$C$1:$C$311)*(B132=$B$1:$B$311)*(A132=$A$1:$A$311),0),2):D131),0))</f>
        <v>0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8">
        <f ca="1">IF($C132-G$1&lt;År1,0,F131*(1-VLOOKUP($A132,[1]Hugst!$R$5:$W$9,MATCH(ROUNDUP((G$1)/10,0)*10,[1]Hugst!$R$4:$W$4,0))))</f>
        <v>0</v>
      </c>
      <c r="H132" s="168">
        <f ca="1">IF($C132-H$1&lt;År1,0,G131*(1-VLOOKUP($A132,[1]Hugst!$R$5:$W$9,MATCH(ROUNDUP((H$1)/10,0)*10,[1]Hugst!$R$4:$W$4,0))))</f>
        <v>0</v>
      </c>
      <c r="I132" s="168">
        <f ca="1">IF($C132-I$1&lt;År1,0,H131*(1-VLOOKUP($A132,[1]Hugst!$R$5:$W$9,MATCH(ROUNDUP((I$1)/10,0)*10,[1]Hugst!$R$4:$W$4,0))))</f>
        <v>0</v>
      </c>
      <c r="J132" s="168">
        <f ca="1">IF($C132-J$1&lt;År1,0,I131*(1-VLOOKUP($A132,[1]Hugst!$R$5:$W$9,MATCH(ROUNDUP((J$1)/10,0)*10,[1]Hugst!$R$4:$W$4,0))))</f>
        <v>0</v>
      </c>
      <c r="K132" s="168">
        <f ca="1">IF($C132-K$1&lt;År1,0,J131*(1-VLOOKUP($A132,[1]Hugst!$R$5:$W$9,MATCH(ROUNDUP((K$1)/10,0)*10,[1]Hugst!$R$4:$W$4,0))))</f>
        <v>0</v>
      </c>
      <c r="L132" s="168">
        <f ca="1">IF($C132-L$1&lt;År1,0,K131*(1-VLOOKUP($A132,[1]Hugst!$R$5:$W$9,MATCH(ROUNDUP((L$1)/10,0)*10,[1]Hugst!$R$4:$W$4,0))))</f>
        <v>0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*VLOOKUP(A133,Skovbrug!$A$13:$D$17,IF('Skovbrug-alder'!C133&lt;=År2,3,4),FALSE)-IF(C133&gt;2020,SUM(INDEX($C$1:$D$311,MATCH(1,(2020=$C$1:$C$311)*(B133=$B$1:$B$311)*(A133=$A$1:$A$311),0),2):D132),0))</f>
        <v>0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8">
        <f ca="1">IF($C133-G$1&lt;År1,0,F132*(1-VLOOKUP($A133,[1]Hugst!$R$5:$W$9,MATCH(ROUNDUP((G$1)/10,0)*10,[1]Hugst!$R$4:$W$4,0))))</f>
        <v>0</v>
      </c>
      <c r="H133" s="168">
        <f ca="1">IF($C133-H$1&lt;År1,0,G132*(1-VLOOKUP($A133,[1]Hugst!$R$5:$W$9,MATCH(ROUNDUP((H$1)/10,0)*10,[1]Hugst!$R$4:$W$4,0))))</f>
        <v>0</v>
      </c>
      <c r="I133" s="168">
        <f ca="1">IF($C133-I$1&lt;År1,0,H132*(1-VLOOKUP($A133,[1]Hugst!$R$5:$W$9,MATCH(ROUNDUP((I$1)/10,0)*10,[1]Hugst!$R$4:$W$4,0))))</f>
        <v>0</v>
      </c>
      <c r="J133" s="168">
        <f ca="1">IF($C133-J$1&lt;År1,0,I132*(1-VLOOKUP($A133,[1]Hugst!$R$5:$W$9,MATCH(ROUNDUP((J$1)/10,0)*10,[1]Hugst!$R$4:$W$4,0))))</f>
        <v>0</v>
      </c>
      <c r="K133" s="168">
        <f ca="1">IF($C133-K$1&lt;År1,0,J132*(1-VLOOKUP($A133,[1]Hugst!$R$5:$W$9,MATCH(ROUNDUP((K$1)/10,0)*10,[1]Hugst!$R$4:$W$4,0))))</f>
        <v>0</v>
      </c>
      <c r="L133" s="168">
        <f ca="1">IF($C133-L$1&lt;År1,0,K132*(1-VLOOKUP($A133,[1]Hugst!$R$5:$W$9,MATCH(ROUNDUP((L$1)/10,0)*10,[1]Hugst!$R$4:$W$4,0))))</f>
        <v>0</v>
      </c>
      <c r="M133" s="168">
        <f ca="1">IF($C133-M$1&lt;År1,0,L132*(1-VLOOKUP($A133,[1]Hugst!$R$5:$W$9,MATCH(ROUNDUP((M$1)/10,0)*10,[1]Hugst!$R$4:$W$4,0))))</f>
        <v>0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*VLOOKUP(A134,Skovbrug!$A$13:$D$17,IF('Skovbrug-alder'!C134&lt;=År2,3,4),FALSE)-IF(C134&gt;2020,SUM(INDEX($C$1:$D$311,MATCH(1,(2020=$C$1:$C$311)*(B134=$B$1:$B$311)*(A134=$A$1:$A$311),0),2):D133),0))</f>
        <v>0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8">
        <f ca="1">IF($C134-G$1&lt;År1,0,F133*(1-VLOOKUP($A134,[1]Hugst!$R$5:$W$9,MATCH(ROUNDUP((G$1)/10,0)*10,[1]Hugst!$R$4:$W$4,0))))</f>
        <v>0</v>
      </c>
      <c r="H134" s="168">
        <f ca="1">IF($C134-H$1&lt;År1,0,G133*(1-VLOOKUP($A134,[1]Hugst!$R$5:$W$9,MATCH(ROUNDUP((H$1)/10,0)*10,[1]Hugst!$R$4:$W$4,0))))</f>
        <v>0</v>
      </c>
      <c r="I134" s="168">
        <f ca="1">IF($C134-I$1&lt;År1,0,H133*(1-VLOOKUP($A134,[1]Hugst!$R$5:$W$9,MATCH(ROUNDUP((I$1)/10,0)*10,[1]Hugst!$R$4:$W$4,0))))</f>
        <v>0</v>
      </c>
      <c r="J134" s="168">
        <f ca="1">IF($C134-J$1&lt;År1,0,I133*(1-VLOOKUP($A134,[1]Hugst!$R$5:$W$9,MATCH(ROUNDUP((J$1)/10,0)*10,[1]Hugst!$R$4:$W$4,0))))</f>
        <v>0</v>
      </c>
      <c r="K134" s="168">
        <f ca="1">IF($C134-K$1&lt;År1,0,J133*(1-VLOOKUP($A134,[1]Hugst!$R$5:$W$9,MATCH(ROUNDUP((K$1)/10,0)*10,[1]Hugst!$R$4:$W$4,0))))</f>
        <v>0</v>
      </c>
      <c r="L134" s="168">
        <f ca="1">IF($C134-L$1&lt;År1,0,K133*(1-VLOOKUP($A134,[1]Hugst!$R$5:$W$9,MATCH(ROUNDUP((L$1)/10,0)*10,[1]Hugst!$R$4:$W$4,0))))</f>
        <v>0</v>
      </c>
      <c r="M134" s="168">
        <f ca="1">IF($C134-M$1&lt;År1,0,L133*(1-VLOOKUP($A134,[1]Hugst!$R$5:$W$9,MATCH(ROUNDUP((M$1)/10,0)*10,[1]Hugst!$R$4:$W$4,0))))</f>
        <v>0</v>
      </c>
      <c r="N134" s="168">
        <f ca="1">IF($C134-N$1&lt;År1,0,M133*(1-VLOOKUP($A134,[1]Hugst!$R$5:$W$9,MATCH(ROUNDUP((N$1)/10,0)*10,[1]Hugst!$R$4:$W$4,0))))</f>
        <v>0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*VLOOKUP(A135,Skovbrug!$A$13:$D$17,IF('Skovbrug-alder'!C135&lt;=År2,3,4),FALSE)-IF(C135&gt;2020,SUM(INDEX($C$1:$D$311,MATCH(1,(2020=$C$1:$C$311)*(B135=$B$1:$B$311)*(A135=$A$1:$A$311),0),2):D134),0))</f>
        <v>0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8">
        <f ca="1">IF($C135-G$1&lt;År1,0,F134*(1-VLOOKUP($A135,[1]Hugst!$R$5:$W$9,MATCH(ROUNDUP((G$1)/10,0)*10,[1]Hugst!$R$4:$W$4,0))))</f>
        <v>0</v>
      </c>
      <c r="H135" s="168">
        <f ca="1">IF($C135-H$1&lt;År1,0,G134*(1-VLOOKUP($A135,[1]Hugst!$R$5:$W$9,MATCH(ROUNDUP((H$1)/10,0)*10,[1]Hugst!$R$4:$W$4,0))))</f>
        <v>0</v>
      </c>
      <c r="I135" s="168">
        <f ca="1">IF($C135-I$1&lt;År1,0,H134*(1-VLOOKUP($A135,[1]Hugst!$R$5:$W$9,MATCH(ROUNDUP((I$1)/10,0)*10,[1]Hugst!$R$4:$W$4,0))))</f>
        <v>0</v>
      </c>
      <c r="J135" s="168">
        <f ca="1">IF($C135-J$1&lt;År1,0,I134*(1-VLOOKUP($A135,[1]Hugst!$R$5:$W$9,MATCH(ROUNDUP((J$1)/10,0)*10,[1]Hugst!$R$4:$W$4,0))))</f>
        <v>0</v>
      </c>
      <c r="K135" s="168">
        <f ca="1">IF($C135-K$1&lt;År1,0,J134*(1-VLOOKUP($A135,[1]Hugst!$R$5:$W$9,MATCH(ROUNDUP((K$1)/10,0)*10,[1]Hugst!$R$4:$W$4,0))))</f>
        <v>0</v>
      </c>
      <c r="L135" s="168">
        <f ca="1">IF($C135-L$1&lt;År1,0,K134*(1-VLOOKUP($A135,[1]Hugst!$R$5:$W$9,MATCH(ROUNDUP((L$1)/10,0)*10,[1]Hugst!$R$4:$W$4,0))))</f>
        <v>0</v>
      </c>
      <c r="M135" s="168">
        <f ca="1">IF($C135-M$1&lt;År1,0,L134*(1-VLOOKUP($A135,[1]Hugst!$R$5:$W$9,MATCH(ROUNDUP((M$1)/10,0)*10,[1]Hugst!$R$4:$W$4,0))))</f>
        <v>0</v>
      </c>
      <c r="N135" s="168">
        <f ca="1">IF($C135-N$1&lt;År1,0,M134*(1-VLOOKUP($A135,[1]Hugst!$R$5:$W$9,MATCH(ROUNDUP((N$1)/10,0)*10,[1]Hugst!$R$4:$W$4,0))))</f>
        <v>0</v>
      </c>
      <c r="O135" s="168">
        <f ca="1">IF($C135-O$1&lt;År1,0,N134*(1-VLOOKUP($A135,[1]Hugst!$R$5:$W$9,MATCH(ROUNDUP((O$1)/10,0)*10,[1]Hugst!$R$4:$W$4,0))))</f>
        <v>0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*VLOOKUP(A136,Skovbrug!$A$13:$D$17,IF('Skovbrug-alder'!C136&lt;=År2,3,4),FALSE)-IF(C136&gt;2020,SUM(INDEX($C$1:$D$311,MATCH(1,(2020=$C$1:$C$311)*(B136=$B$1:$B$311)*(A136=$A$1:$A$311),0),2):D135),0))</f>
        <v>0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8">
        <f ca="1">IF($C136-G$1&lt;År1,0,F135*(1-VLOOKUP($A136,[1]Hugst!$R$5:$W$9,MATCH(ROUNDUP((G$1)/10,0)*10,[1]Hugst!$R$4:$W$4,0))))</f>
        <v>0</v>
      </c>
      <c r="H136" s="168">
        <f ca="1">IF($C136-H$1&lt;År1,0,G135*(1-VLOOKUP($A136,[1]Hugst!$R$5:$W$9,MATCH(ROUNDUP((H$1)/10,0)*10,[1]Hugst!$R$4:$W$4,0))))</f>
        <v>0</v>
      </c>
      <c r="I136" s="168">
        <f ca="1">IF($C136-I$1&lt;År1,0,H135*(1-VLOOKUP($A136,[1]Hugst!$R$5:$W$9,MATCH(ROUNDUP((I$1)/10,0)*10,[1]Hugst!$R$4:$W$4,0))))</f>
        <v>0</v>
      </c>
      <c r="J136" s="168">
        <f ca="1">IF($C136-J$1&lt;År1,0,I135*(1-VLOOKUP($A136,[1]Hugst!$R$5:$W$9,MATCH(ROUNDUP((J$1)/10,0)*10,[1]Hugst!$R$4:$W$4,0))))</f>
        <v>0</v>
      </c>
      <c r="K136" s="168">
        <f ca="1">IF($C136-K$1&lt;År1,0,J135*(1-VLOOKUP($A136,[1]Hugst!$R$5:$W$9,MATCH(ROUNDUP((K$1)/10,0)*10,[1]Hugst!$R$4:$W$4,0))))</f>
        <v>0</v>
      </c>
      <c r="L136" s="168">
        <f ca="1">IF($C136-L$1&lt;År1,0,K135*(1-VLOOKUP($A136,[1]Hugst!$R$5:$W$9,MATCH(ROUNDUP((L$1)/10,0)*10,[1]Hugst!$R$4:$W$4,0))))</f>
        <v>0</v>
      </c>
      <c r="M136" s="168">
        <f ca="1">IF($C136-M$1&lt;År1,0,L135*(1-VLOOKUP($A136,[1]Hugst!$R$5:$W$9,MATCH(ROUNDUP((M$1)/10,0)*10,[1]Hugst!$R$4:$W$4,0))))</f>
        <v>0</v>
      </c>
      <c r="N136" s="168">
        <f ca="1">IF($C136-N$1&lt;År1,0,M135*(1-VLOOKUP($A136,[1]Hugst!$R$5:$W$9,MATCH(ROUNDUP((N$1)/10,0)*10,[1]Hugst!$R$4:$W$4,0))))</f>
        <v>0</v>
      </c>
      <c r="O136" s="168">
        <f ca="1">IF($C136-O$1&lt;År1,0,N135*(1-VLOOKUP($A136,[1]Hugst!$R$5:$W$9,MATCH(ROUNDUP((O$1)/10,0)*10,[1]Hugst!$R$4:$W$4,0))))</f>
        <v>0</v>
      </c>
      <c r="P136" s="168">
        <f ca="1">IF($C136-P$1&lt;År1,0,O135*(1-VLOOKUP($A136,[1]Hugst!$R$5:$W$9,MATCH(ROUNDUP((P$1)/10,0)*10,[1]Hugst!$R$4:$W$4,0))))</f>
        <v>0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*VLOOKUP(A137,Skovbrug!$A$13:$D$17,IF('Skovbrug-alder'!C137&lt;=År2,3,4),FALSE)-IF(C137&gt;2020,SUM(INDEX($C$1:$D$311,MATCH(1,(2020=$C$1:$C$311)*(B137=$B$1:$B$311)*(A137=$A$1:$A$311),0),2):D136),0))</f>
        <v>0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8">
        <f ca="1">IF($C137-G$1&lt;År1,0,F136*(1-VLOOKUP($A137,[1]Hugst!$R$5:$W$9,MATCH(ROUNDUP((G$1)/10,0)*10,[1]Hugst!$R$4:$W$4,0))))</f>
        <v>0</v>
      </c>
      <c r="H137" s="168">
        <f ca="1">IF($C137-H$1&lt;År1,0,G136*(1-VLOOKUP($A137,[1]Hugst!$R$5:$W$9,MATCH(ROUNDUP((H$1)/10,0)*10,[1]Hugst!$R$4:$W$4,0))))</f>
        <v>0</v>
      </c>
      <c r="I137" s="168">
        <f ca="1">IF($C137-I$1&lt;År1,0,H136*(1-VLOOKUP($A137,[1]Hugst!$R$5:$W$9,MATCH(ROUNDUP((I$1)/10,0)*10,[1]Hugst!$R$4:$W$4,0))))</f>
        <v>0</v>
      </c>
      <c r="J137" s="168">
        <f ca="1">IF($C137-J$1&lt;År1,0,I136*(1-VLOOKUP($A137,[1]Hugst!$R$5:$W$9,MATCH(ROUNDUP((J$1)/10,0)*10,[1]Hugst!$R$4:$W$4,0))))</f>
        <v>0</v>
      </c>
      <c r="K137" s="168">
        <f ca="1">IF($C137-K$1&lt;År1,0,J136*(1-VLOOKUP($A137,[1]Hugst!$R$5:$W$9,MATCH(ROUNDUP((K$1)/10,0)*10,[1]Hugst!$R$4:$W$4,0))))</f>
        <v>0</v>
      </c>
      <c r="L137" s="168">
        <f ca="1">IF($C137-L$1&lt;År1,0,K136*(1-VLOOKUP($A137,[1]Hugst!$R$5:$W$9,MATCH(ROUNDUP((L$1)/10,0)*10,[1]Hugst!$R$4:$W$4,0))))</f>
        <v>0</v>
      </c>
      <c r="M137" s="168">
        <f ca="1">IF($C137-M$1&lt;År1,0,L136*(1-VLOOKUP($A137,[1]Hugst!$R$5:$W$9,MATCH(ROUNDUP((M$1)/10,0)*10,[1]Hugst!$R$4:$W$4,0))))</f>
        <v>0</v>
      </c>
      <c r="N137" s="168">
        <f ca="1">IF($C137-N$1&lt;År1,0,M136*(1-VLOOKUP($A137,[1]Hugst!$R$5:$W$9,MATCH(ROUNDUP((N$1)/10,0)*10,[1]Hugst!$R$4:$W$4,0))))</f>
        <v>0</v>
      </c>
      <c r="O137" s="168">
        <f ca="1">IF($C137-O$1&lt;År1,0,N136*(1-VLOOKUP($A137,[1]Hugst!$R$5:$W$9,MATCH(ROUNDUP((O$1)/10,0)*10,[1]Hugst!$R$4:$W$4,0))))</f>
        <v>0</v>
      </c>
      <c r="P137" s="168">
        <f ca="1">IF($C137-P$1&lt;År1,0,O136*(1-VLOOKUP($A137,[1]Hugst!$R$5:$W$9,MATCH(ROUNDUP((P$1)/10,0)*10,[1]Hugst!$R$4:$W$4,0))))</f>
        <v>0</v>
      </c>
      <c r="Q137" s="168">
        <f ca="1">IF($C137-Q$1&lt;År1,0,P136*(1-VLOOKUP($A137,[1]Hugst!$R$5:$W$9,MATCH(ROUNDUP((Q$1)/10,0)*10,[1]Hugst!$R$4:$W$4,0))))</f>
        <v>0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*VLOOKUP(A138,Skovbrug!$A$13:$D$17,IF('Skovbrug-alder'!C138&lt;=År2,3,4),FALSE)-IF(C138&gt;2020,SUM(INDEX($C$1:$D$311,MATCH(1,(2020=$C$1:$C$311)*(B138=$B$1:$B$311)*(A138=$A$1:$A$311),0),2):D137),0))</f>
        <v>0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8">
        <f ca="1">IF($C138-G$1&lt;År1,0,F137*(1-VLOOKUP($A138,[1]Hugst!$R$5:$W$9,MATCH(ROUNDUP((G$1)/10,0)*10,[1]Hugst!$R$4:$W$4,0))))</f>
        <v>0</v>
      </c>
      <c r="H138" s="168">
        <f ca="1">IF($C138-H$1&lt;År1,0,G137*(1-VLOOKUP($A138,[1]Hugst!$R$5:$W$9,MATCH(ROUNDUP((H$1)/10,0)*10,[1]Hugst!$R$4:$W$4,0))))</f>
        <v>0</v>
      </c>
      <c r="I138" s="168">
        <f ca="1">IF($C138-I$1&lt;År1,0,H137*(1-VLOOKUP($A138,[1]Hugst!$R$5:$W$9,MATCH(ROUNDUP((I$1)/10,0)*10,[1]Hugst!$R$4:$W$4,0))))</f>
        <v>0</v>
      </c>
      <c r="J138" s="168">
        <f ca="1">IF($C138-J$1&lt;År1,0,I137*(1-VLOOKUP($A138,[1]Hugst!$R$5:$W$9,MATCH(ROUNDUP((J$1)/10,0)*10,[1]Hugst!$R$4:$W$4,0))))</f>
        <v>0</v>
      </c>
      <c r="K138" s="168">
        <f ca="1">IF($C138-K$1&lt;År1,0,J137*(1-VLOOKUP($A138,[1]Hugst!$R$5:$W$9,MATCH(ROUNDUP((K$1)/10,0)*10,[1]Hugst!$R$4:$W$4,0))))</f>
        <v>0</v>
      </c>
      <c r="L138" s="168">
        <f ca="1">IF($C138-L$1&lt;År1,0,K137*(1-VLOOKUP($A138,[1]Hugst!$R$5:$W$9,MATCH(ROUNDUP((L$1)/10,0)*10,[1]Hugst!$R$4:$W$4,0))))</f>
        <v>0</v>
      </c>
      <c r="M138" s="168">
        <f ca="1">IF($C138-M$1&lt;År1,0,L137*(1-VLOOKUP($A138,[1]Hugst!$R$5:$W$9,MATCH(ROUNDUP((M$1)/10,0)*10,[1]Hugst!$R$4:$W$4,0))))</f>
        <v>0</v>
      </c>
      <c r="N138" s="168">
        <f ca="1">IF($C138-N$1&lt;År1,0,M137*(1-VLOOKUP($A138,[1]Hugst!$R$5:$W$9,MATCH(ROUNDUP((N$1)/10,0)*10,[1]Hugst!$R$4:$W$4,0))))</f>
        <v>0</v>
      </c>
      <c r="O138" s="168">
        <f ca="1">IF($C138-O$1&lt;År1,0,N137*(1-VLOOKUP($A138,[1]Hugst!$R$5:$W$9,MATCH(ROUNDUP((O$1)/10,0)*10,[1]Hugst!$R$4:$W$4,0))))</f>
        <v>0</v>
      </c>
      <c r="P138" s="168">
        <f ca="1">IF($C138-P$1&lt;År1,0,O137*(1-VLOOKUP($A138,[1]Hugst!$R$5:$W$9,MATCH(ROUNDUP((P$1)/10,0)*10,[1]Hugst!$R$4:$W$4,0))))</f>
        <v>0</v>
      </c>
      <c r="Q138" s="168">
        <f ca="1">IF($C138-Q$1&lt;År1,0,P137*(1-VLOOKUP($A138,[1]Hugst!$R$5:$W$9,MATCH(ROUNDUP((Q$1)/10,0)*10,[1]Hugst!$R$4:$W$4,0))))</f>
        <v>0</v>
      </c>
      <c r="R138" s="168">
        <f ca="1">IF($C138-R$1&lt;År1,0,Q137*(1-VLOOKUP($A138,[1]Hugst!$R$5:$W$9,MATCH(ROUNDUP((R$1)/10,0)*10,[1]Hugst!$R$4:$W$4,0))))</f>
        <v>0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*VLOOKUP(A139,Skovbrug!$A$13:$D$17,IF('Skovbrug-alder'!C139&lt;=År2,3,4),FALSE)-IF(C139&gt;2020,SUM(INDEX($C$1:$D$311,MATCH(1,(2020=$C$1:$C$311)*(B139=$B$1:$B$311)*(A139=$A$1:$A$311),0),2):D138),0))</f>
        <v>0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8">
        <f ca="1">IF($C139-G$1&lt;År1,0,F138*(1-VLOOKUP($A139,[1]Hugst!$R$5:$W$9,MATCH(ROUNDUP((G$1)/10,0)*10,[1]Hugst!$R$4:$W$4,0))))</f>
        <v>0</v>
      </c>
      <c r="H139" s="168">
        <f ca="1">IF($C139-H$1&lt;År1,0,G138*(1-VLOOKUP($A139,[1]Hugst!$R$5:$W$9,MATCH(ROUNDUP((H$1)/10,0)*10,[1]Hugst!$R$4:$W$4,0))))</f>
        <v>0</v>
      </c>
      <c r="I139" s="168">
        <f ca="1">IF($C139-I$1&lt;År1,0,H138*(1-VLOOKUP($A139,[1]Hugst!$R$5:$W$9,MATCH(ROUNDUP((I$1)/10,0)*10,[1]Hugst!$R$4:$W$4,0))))</f>
        <v>0</v>
      </c>
      <c r="J139" s="168">
        <f ca="1">IF($C139-J$1&lt;År1,0,I138*(1-VLOOKUP($A139,[1]Hugst!$R$5:$W$9,MATCH(ROUNDUP((J$1)/10,0)*10,[1]Hugst!$R$4:$W$4,0))))</f>
        <v>0</v>
      </c>
      <c r="K139" s="168">
        <f ca="1">IF($C139-K$1&lt;År1,0,J138*(1-VLOOKUP($A139,[1]Hugst!$R$5:$W$9,MATCH(ROUNDUP((K$1)/10,0)*10,[1]Hugst!$R$4:$W$4,0))))</f>
        <v>0</v>
      </c>
      <c r="L139" s="168">
        <f ca="1">IF($C139-L$1&lt;År1,0,K138*(1-VLOOKUP($A139,[1]Hugst!$R$5:$W$9,MATCH(ROUNDUP((L$1)/10,0)*10,[1]Hugst!$R$4:$W$4,0))))</f>
        <v>0</v>
      </c>
      <c r="M139" s="168">
        <f ca="1">IF($C139-M$1&lt;År1,0,L138*(1-VLOOKUP($A139,[1]Hugst!$R$5:$W$9,MATCH(ROUNDUP((M$1)/10,0)*10,[1]Hugst!$R$4:$W$4,0))))</f>
        <v>0</v>
      </c>
      <c r="N139" s="168">
        <f ca="1">IF($C139-N$1&lt;År1,0,M138*(1-VLOOKUP($A139,[1]Hugst!$R$5:$W$9,MATCH(ROUNDUP((N$1)/10,0)*10,[1]Hugst!$R$4:$W$4,0))))</f>
        <v>0</v>
      </c>
      <c r="O139" s="168">
        <f ca="1">IF($C139-O$1&lt;År1,0,N138*(1-VLOOKUP($A139,[1]Hugst!$R$5:$W$9,MATCH(ROUNDUP((O$1)/10,0)*10,[1]Hugst!$R$4:$W$4,0))))</f>
        <v>0</v>
      </c>
      <c r="P139" s="168">
        <f ca="1">IF($C139-P$1&lt;År1,0,O138*(1-VLOOKUP($A139,[1]Hugst!$R$5:$W$9,MATCH(ROUNDUP((P$1)/10,0)*10,[1]Hugst!$R$4:$W$4,0))))</f>
        <v>0</v>
      </c>
      <c r="Q139" s="168">
        <f ca="1">IF($C139-Q$1&lt;År1,0,P138*(1-VLOOKUP($A139,[1]Hugst!$R$5:$W$9,MATCH(ROUNDUP((Q$1)/10,0)*10,[1]Hugst!$R$4:$W$4,0))))</f>
        <v>0</v>
      </c>
      <c r="R139" s="168">
        <f ca="1">IF($C139-R$1&lt;År1,0,Q138*(1-VLOOKUP($A139,[1]Hugst!$R$5:$W$9,MATCH(ROUNDUP((R$1)/10,0)*10,[1]Hugst!$R$4:$W$4,0))))</f>
        <v>0</v>
      </c>
      <c r="S139" s="168">
        <f ca="1">IF($C139-S$1&lt;År1,0,R138*(1-VLOOKUP($A139,[1]Hugst!$R$5:$W$9,MATCH(ROUNDUP((S$1)/10,0)*10,[1]Hugst!$R$4:$W$4,0))))</f>
        <v>0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*VLOOKUP(A140,Skovbrug!$A$13:$D$17,IF('Skovbrug-alder'!C140&lt;=År2,3,4),FALSE)-IF(C140&gt;2020,SUM(INDEX($C$1:$D$311,MATCH(1,(2020=$C$1:$C$311)*(B140=$B$1:$B$311)*(A140=$A$1:$A$311),0),2):D139),0))</f>
        <v>0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8">
        <f ca="1">IF($C140-G$1&lt;År1,0,F139*(1-VLOOKUP($A140,[1]Hugst!$R$5:$W$9,MATCH(ROUNDUP((G$1)/10,0)*10,[1]Hugst!$R$4:$W$4,0))))</f>
        <v>0</v>
      </c>
      <c r="H140" s="168">
        <f ca="1">IF($C140-H$1&lt;År1,0,G139*(1-VLOOKUP($A140,[1]Hugst!$R$5:$W$9,MATCH(ROUNDUP((H$1)/10,0)*10,[1]Hugst!$R$4:$W$4,0))))</f>
        <v>0</v>
      </c>
      <c r="I140" s="168">
        <f ca="1">IF($C140-I$1&lt;År1,0,H139*(1-VLOOKUP($A140,[1]Hugst!$R$5:$W$9,MATCH(ROUNDUP((I$1)/10,0)*10,[1]Hugst!$R$4:$W$4,0))))</f>
        <v>0</v>
      </c>
      <c r="J140" s="168">
        <f ca="1">IF($C140-J$1&lt;År1,0,I139*(1-VLOOKUP($A140,[1]Hugst!$R$5:$W$9,MATCH(ROUNDUP((J$1)/10,0)*10,[1]Hugst!$R$4:$W$4,0))))</f>
        <v>0</v>
      </c>
      <c r="K140" s="168">
        <f ca="1">IF($C140-K$1&lt;År1,0,J139*(1-VLOOKUP($A140,[1]Hugst!$R$5:$W$9,MATCH(ROUNDUP((K$1)/10,0)*10,[1]Hugst!$R$4:$W$4,0))))</f>
        <v>0</v>
      </c>
      <c r="L140" s="168">
        <f ca="1">IF($C140-L$1&lt;År1,0,K139*(1-VLOOKUP($A140,[1]Hugst!$R$5:$W$9,MATCH(ROUNDUP((L$1)/10,0)*10,[1]Hugst!$R$4:$W$4,0))))</f>
        <v>0</v>
      </c>
      <c r="M140" s="168">
        <f ca="1">IF($C140-M$1&lt;År1,0,L139*(1-VLOOKUP($A140,[1]Hugst!$R$5:$W$9,MATCH(ROUNDUP((M$1)/10,0)*10,[1]Hugst!$R$4:$W$4,0))))</f>
        <v>0</v>
      </c>
      <c r="N140" s="168">
        <f ca="1">IF($C140-N$1&lt;År1,0,M139*(1-VLOOKUP($A140,[1]Hugst!$R$5:$W$9,MATCH(ROUNDUP((N$1)/10,0)*10,[1]Hugst!$R$4:$W$4,0))))</f>
        <v>0</v>
      </c>
      <c r="O140" s="168">
        <f ca="1">IF($C140-O$1&lt;År1,0,N139*(1-VLOOKUP($A140,[1]Hugst!$R$5:$W$9,MATCH(ROUNDUP((O$1)/10,0)*10,[1]Hugst!$R$4:$W$4,0))))</f>
        <v>0</v>
      </c>
      <c r="P140" s="168">
        <f ca="1">IF($C140-P$1&lt;År1,0,O139*(1-VLOOKUP($A140,[1]Hugst!$R$5:$W$9,MATCH(ROUNDUP((P$1)/10,0)*10,[1]Hugst!$R$4:$W$4,0))))</f>
        <v>0</v>
      </c>
      <c r="Q140" s="168">
        <f ca="1">IF($C140-Q$1&lt;År1,0,P139*(1-VLOOKUP($A140,[1]Hugst!$R$5:$W$9,MATCH(ROUNDUP((Q$1)/10,0)*10,[1]Hugst!$R$4:$W$4,0))))</f>
        <v>0</v>
      </c>
      <c r="R140" s="168">
        <f ca="1">IF($C140-R$1&lt;År1,0,Q139*(1-VLOOKUP($A140,[1]Hugst!$R$5:$W$9,MATCH(ROUNDUP((R$1)/10,0)*10,[1]Hugst!$R$4:$W$4,0))))</f>
        <v>0</v>
      </c>
      <c r="S140" s="168">
        <f ca="1">IF($C140-S$1&lt;År1,0,R139*(1-VLOOKUP($A140,[1]Hugst!$R$5:$W$9,MATCH(ROUNDUP((S$1)/10,0)*10,[1]Hugst!$R$4:$W$4,0))))</f>
        <v>0</v>
      </c>
      <c r="T140" s="168">
        <f ca="1">IF($C140-T$1&lt;År1,0,S139*(1-VLOOKUP($A140,[1]Hugst!$R$5:$W$9,MATCH(ROUNDUP((T$1)/10,0)*10,[1]Hugst!$R$4:$W$4,0))))</f>
        <v>0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*VLOOKUP(A141,Skovbrug!$A$13:$D$17,IF('Skovbrug-alder'!C141&lt;=År2,3,4),FALSE)-IF(C141&gt;2020,SUM(INDEX($C$1:$D$311,MATCH(1,(2020=$C$1:$C$311)*(B141=$B$1:$B$311)*(A141=$A$1:$A$311),0),2):D140),0))</f>
        <v>0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8">
        <f ca="1">IF($C141-G$1&lt;År1,0,F140*(1-VLOOKUP($A141,[1]Hugst!$R$5:$W$9,MATCH(ROUNDUP((G$1)/10,0)*10,[1]Hugst!$R$4:$W$4,0))))</f>
        <v>0</v>
      </c>
      <c r="H141" s="168">
        <f ca="1">IF($C141-H$1&lt;År1,0,G140*(1-VLOOKUP($A141,[1]Hugst!$R$5:$W$9,MATCH(ROUNDUP((H$1)/10,0)*10,[1]Hugst!$R$4:$W$4,0))))</f>
        <v>0</v>
      </c>
      <c r="I141" s="168">
        <f ca="1">IF($C141-I$1&lt;År1,0,H140*(1-VLOOKUP($A141,[1]Hugst!$R$5:$W$9,MATCH(ROUNDUP((I$1)/10,0)*10,[1]Hugst!$R$4:$W$4,0))))</f>
        <v>0</v>
      </c>
      <c r="J141" s="168">
        <f ca="1">IF($C141-J$1&lt;År1,0,I140*(1-VLOOKUP($A141,[1]Hugst!$R$5:$W$9,MATCH(ROUNDUP((J$1)/10,0)*10,[1]Hugst!$R$4:$W$4,0))))</f>
        <v>0</v>
      </c>
      <c r="K141" s="168">
        <f ca="1">IF($C141-K$1&lt;År1,0,J140*(1-VLOOKUP($A141,[1]Hugst!$R$5:$W$9,MATCH(ROUNDUP((K$1)/10,0)*10,[1]Hugst!$R$4:$W$4,0))))</f>
        <v>0</v>
      </c>
      <c r="L141" s="168">
        <f ca="1">IF($C141-L$1&lt;År1,0,K140*(1-VLOOKUP($A141,[1]Hugst!$R$5:$W$9,MATCH(ROUNDUP((L$1)/10,0)*10,[1]Hugst!$R$4:$W$4,0))))</f>
        <v>0</v>
      </c>
      <c r="M141" s="168">
        <f ca="1">IF($C141-M$1&lt;År1,0,L140*(1-VLOOKUP($A141,[1]Hugst!$R$5:$W$9,MATCH(ROUNDUP((M$1)/10,0)*10,[1]Hugst!$R$4:$W$4,0))))</f>
        <v>0</v>
      </c>
      <c r="N141" s="168">
        <f ca="1">IF($C141-N$1&lt;År1,0,M140*(1-VLOOKUP($A141,[1]Hugst!$R$5:$W$9,MATCH(ROUNDUP((N$1)/10,0)*10,[1]Hugst!$R$4:$W$4,0))))</f>
        <v>0</v>
      </c>
      <c r="O141" s="168">
        <f ca="1">IF($C141-O$1&lt;År1,0,N140*(1-VLOOKUP($A141,[1]Hugst!$R$5:$W$9,MATCH(ROUNDUP((O$1)/10,0)*10,[1]Hugst!$R$4:$W$4,0))))</f>
        <v>0</v>
      </c>
      <c r="P141" s="168">
        <f ca="1">IF($C141-P$1&lt;År1,0,O140*(1-VLOOKUP($A141,[1]Hugst!$R$5:$W$9,MATCH(ROUNDUP((P$1)/10,0)*10,[1]Hugst!$R$4:$W$4,0))))</f>
        <v>0</v>
      </c>
      <c r="Q141" s="168">
        <f ca="1">IF($C141-Q$1&lt;År1,0,P140*(1-VLOOKUP($A141,[1]Hugst!$R$5:$W$9,MATCH(ROUNDUP((Q$1)/10,0)*10,[1]Hugst!$R$4:$W$4,0))))</f>
        <v>0</v>
      </c>
      <c r="R141" s="168">
        <f ca="1">IF($C141-R$1&lt;År1,0,Q140*(1-VLOOKUP($A141,[1]Hugst!$R$5:$W$9,MATCH(ROUNDUP((R$1)/10,0)*10,[1]Hugst!$R$4:$W$4,0))))</f>
        <v>0</v>
      </c>
      <c r="S141" s="168">
        <f ca="1">IF($C141-S$1&lt;År1,0,R140*(1-VLOOKUP($A141,[1]Hugst!$R$5:$W$9,MATCH(ROUNDUP((S$1)/10,0)*10,[1]Hugst!$R$4:$W$4,0))))</f>
        <v>0</v>
      </c>
      <c r="T141" s="168">
        <f ca="1">IF($C141-T$1&lt;År1,0,S140*(1-VLOOKUP($A141,[1]Hugst!$R$5:$W$9,MATCH(ROUNDUP((T$1)/10,0)*10,[1]Hugst!$R$4:$W$4,0))))</f>
        <v>0</v>
      </c>
      <c r="U141" s="168">
        <f ca="1">IF($C141-U$1&lt;År1,0,T140*(1-VLOOKUP($A141,[1]Hugst!$R$5:$W$9,MATCH(ROUNDUP((U$1)/10,0)*10,[1]Hugst!$R$4:$W$4,0))))</f>
        <v>0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*VLOOKUP(A142,Skovbrug!$A$13:$D$17,IF('Skovbrug-alder'!C142&lt;=År2,3,4),FALSE)-IF(C142&gt;2020,SUM(INDEX($C$1:$D$311,MATCH(1,(2020=$C$1:$C$311)*(B142=$B$1:$B$311)*(A142=$A$1:$A$311),0),2):D141),0))</f>
        <v>0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8">
        <f ca="1">IF($C142-G$1&lt;År1,0,F141*(1-VLOOKUP($A142,[1]Hugst!$R$5:$W$9,MATCH(ROUNDUP((G$1)/10,0)*10,[1]Hugst!$R$4:$W$4,0))))</f>
        <v>0</v>
      </c>
      <c r="H142" s="168">
        <f ca="1">IF($C142-H$1&lt;År1,0,G141*(1-VLOOKUP($A142,[1]Hugst!$R$5:$W$9,MATCH(ROUNDUP((H$1)/10,0)*10,[1]Hugst!$R$4:$W$4,0))))</f>
        <v>0</v>
      </c>
      <c r="I142" s="168">
        <f ca="1">IF($C142-I$1&lt;År1,0,H141*(1-VLOOKUP($A142,[1]Hugst!$R$5:$W$9,MATCH(ROUNDUP((I$1)/10,0)*10,[1]Hugst!$R$4:$W$4,0))))</f>
        <v>0</v>
      </c>
      <c r="J142" s="168">
        <f ca="1">IF($C142-J$1&lt;År1,0,I141*(1-VLOOKUP($A142,[1]Hugst!$R$5:$W$9,MATCH(ROUNDUP((J$1)/10,0)*10,[1]Hugst!$R$4:$W$4,0))))</f>
        <v>0</v>
      </c>
      <c r="K142" s="168">
        <f ca="1">IF($C142-K$1&lt;År1,0,J141*(1-VLOOKUP($A142,[1]Hugst!$R$5:$W$9,MATCH(ROUNDUP((K$1)/10,0)*10,[1]Hugst!$R$4:$W$4,0))))</f>
        <v>0</v>
      </c>
      <c r="L142" s="168">
        <f ca="1">IF($C142-L$1&lt;År1,0,K141*(1-VLOOKUP($A142,[1]Hugst!$R$5:$W$9,MATCH(ROUNDUP((L$1)/10,0)*10,[1]Hugst!$R$4:$W$4,0))))</f>
        <v>0</v>
      </c>
      <c r="M142" s="168">
        <f ca="1">IF($C142-M$1&lt;År1,0,L141*(1-VLOOKUP($A142,[1]Hugst!$R$5:$W$9,MATCH(ROUNDUP((M$1)/10,0)*10,[1]Hugst!$R$4:$W$4,0))))</f>
        <v>0</v>
      </c>
      <c r="N142" s="168">
        <f ca="1">IF($C142-N$1&lt;År1,0,M141*(1-VLOOKUP($A142,[1]Hugst!$R$5:$W$9,MATCH(ROUNDUP((N$1)/10,0)*10,[1]Hugst!$R$4:$W$4,0))))</f>
        <v>0</v>
      </c>
      <c r="O142" s="168">
        <f ca="1">IF($C142-O$1&lt;År1,0,N141*(1-VLOOKUP($A142,[1]Hugst!$R$5:$W$9,MATCH(ROUNDUP((O$1)/10,0)*10,[1]Hugst!$R$4:$W$4,0))))</f>
        <v>0</v>
      </c>
      <c r="P142" s="168">
        <f ca="1">IF($C142-P$1&lt;År1,0,O141*(1-VLOOKUP($A142,[1]Hugst!$R$5:$W$9,MATCH(ROUNDUP((P$1)/10,0)*10,[1]Hugst!$R$4:$W$4,0))))</f>
        <v>0</v>
      </c>
      <c r="Q142" s="168">
        <f ca="1">IF($C142-Q$1&lt;År1,0,P141*(1-VLOOKUP($A142,[1]Hugst!$R$5:$W$9,MATCH(ROUNDUP((Q$1)/10,0)*10,[1]Hugst!$R$4:$W$4,0))))</f>
        <v>0</v>
      </c>
      <c r="R142" s="168">
        <f ca="1">IF($C142-R$1&lt;År1,0,Q141*(1-VLOOKUP($A142,[1]Hugst!$R$5:$W$9,MATCH(ROUNDUP((R$1)/10,0)*10,[1]Hugst!$R$4:$W$4,0))))</f>
        <v>0</v>
      </c>
      <c r="S142" s="168">
        <f ca="1">IF($C142-S$1&lt;År1,0,R141*(1-VLOOKUP($A142,[1]Hugst!$R$5:$W$9,MATCH(ROUNDUP((S$1)/10,0)*10,[1]Hugst!$R$4:$W$4,0))))</f>
        <v>0</v>
      </c>
      <c r="T142" s="168">
        <f ca="1">IF($C142-T$1&lt;År1,0,S141*(1-VLOOKUP($A142,[1]Hugst!$R$5:$W$9,MATCH(ROUNDUP((T$1)/10,0)*10,[1]Hugst!$R$4:$W$4,0))))</f>
        <v>0</v>
      </c>
      <c r="U142" s="168">
        <f ca="1">IF($C142-U$1&lt;År1,0,T141*(1-VLOOKUP($A142,[1]Hugst!$R$5:$W$9,MATCH(ROUNDUP((U$1)/10,0)*10,[1]Hugst!$R$4:$W$4,0))))</f>
        <v>0</v>
      </c>
      <c r="V142" s="168">
        <f ca="1">IF($C142-V$1&lt;År1,0,U141*(1-VLOOKUP($A142,[1]Hugst!$R$5:$W$9,MATCH(ROUNDUP((V$1)/10,0)*10,[1]Hugst!$R$4:$W$4,0))))</f>
        <v>0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*VLOOKUP(A143,Skovbrug!$A$13:$D$17,IF('Skovbrug-alder'!C143&lt;=År2,3,4),FALSE)-IF(C143&gt;2020,SUM(INDEX($C$1:$D$311,MATCH(1,(2020=$C$1:$C$311)*(B143=$B$1:$B$311)*(A143=$A$1:$A$311),0),2):D142),0))</f>
        <v>0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8">
        <f ca="1">IF($C143-G$1&lt;År1,0,F142*(1-VLOOKUP($A143,[1]Hugst!$R$5:$W$9,MATCH(ROUNDUP((G$1)/10,0)*10,[1]Hugst!$R$4:$W$4,0))))</f>
        <v>0</v>
      </c>
      <c r="H143" s="168">
        <f ca="1">IF($C143-H$1&lt;År1,0,G142*(1-VLOOKUP($A143,[1]Hugst!$R$5:$W$9,MATCH(ROUNDUP((H$1)/10,0)*10,[1]Hugst!$R$4:$W$4,0))))</f>
        <v>0</v>
      </c>
      <c r="I143" s="168">
        <f ca="1">IF($C143-I$1&lt;År1,0,H142*(1-VLOOKUP($A143,[1]Hugst!$R$5:$W$9,MATCH(ROUNDUP((I$1)/10,0)*10,[1]Hugst!$R$4:$W$4,0))))</f>
        <v>0</v>
      </c>
      <c r="J143" s="168">
        <f ca="1">IF($C143-J$1&lt;År1,0,I142*(1-VLOOKUP($A143,[1]Hugst!$R$5:$W$9,MATCH(ROUNDUP((J$1)/10,0)*10,[1]Hugst!$R$4:$W$4,0))))</f>
        <v>0</v>
      </c>
      <c r="K143" s="168">
        <f ca="1">IF($C143-K$1&lt;År1,0,J142*(1-VLOOKUP($A143,[1]Hugst!$R$5:$W$9,MATCH(ROUNDUP((K$1)/10,0)*10,[1]Hugst!$R$4:$W$4,0))))</f>
        <v>0</v>
      </c>
      <c r="L143" s="168">
        <f ca="1">IF($C143-L$1&lt;År1,0,K142*(1-VLOOKUP($A143,[1]Hugst!$R$5:$W$9,MATCH(ROUNDUP((L$1)/10,0)*10,[1]Hugst!$R$4:$W$4,0))))</f>
        <v>0</v>
      </c>
      <c r="M143" s="168">
        <f ca="1">IF($C143-M$1&lt;År1,0,L142*(1-VLOOKUP($A143,[1]Hugst!$R$5:$W$9,MATCH(ROUNDUP((M$1)/10,0)*10,[1]Hugst!$R$4:$W$4,0))))</f>
        <v>0</v>
      </c>
      <c r="N143" s="168">
        <f ca="1">IF($C143-N$1&lt;År1,0,M142*(1-VLOOKUP($A143,[1]Hugst!$R$5:$W$9,MATCH(ROUNDUP((N$1)/10,0)*10,[1]Hugst!$R$4:$W$4,0))))</f>
        <v>0</v>
      </c>
      <c r="O143" s="168">
        <f ca="1">IF($C143-O$1&lt;År1,0,N142*(1-VLOOKUP($A143,[1]Hugst!$R$5:$W$9,MATCH(ROUNDUP((O$1)/10,0)*10,[1]Hugst!$R$4:$W$4,0))))</f>
        <v>0</v>
      </c>
      <c r="P143" s="168">
        <f ca="1">IF($C143-P$1&lt;År1,0,O142*(1-VLOOKUP($A143,[1]Hugst!$R$5:$W$9,MATCH(ROUNDUP((P$1)/10,0)*10,[1]Hugst!$R$4:$W$4,0))))</f>
        <v>0</v>
      </c>
      <c r="Q143" s="168">
        <f ca="1">IF($C143-Q$1&lt;År1,0,P142*(1-VLOOKUP($A143,[1]Hugst!$R$5:$W$9,MATCH(ROUNDUP((Q$1)/10,0)*10,[1]Hugst!$R$4:$W$4,0))))</f>
        <v>0</v>
      </c>
      <c r="R143" s="168">
        <f ca="1">IF($C143-R$1&lt;År1,0,Q142*(1-VLOOKUP($A143,[1]Hugst!$R$5:$W$9,MATCH(ROUNDUP((R$1)/10,0)*10,[1]Hugst!$R$4:$W$4,0))))</f>
        <v>0</v>
      </c>
      <c r="S143" s="168">
        <f ca="1">IF($C143-S$1&lt;År1,0,R142*(1-VLOOKUP($A143,[1]Hugst!$R$5:$W$9,MATCH(ROUNDUP((S$1)/10,0)*10,[1]Hugst!$R$4:$W$4,0))))</f>
        <v>0</v>
      </c>
      <c r="T143" s="168">
        <f ca="1">IF($C143-T$1&lt;År1,0,S142*(1-VLOOKUP($A143,[1]Hugst!$R$5:$W$9,MATCH(ROUNDUP((T$1)/10,0)*10,[1]Hugst!$R$4:$W$4,0))))</f>
        <v>0</v>
      </c>
      <c r="U143" s="168">
        <f ca="1">IF($C143-U$1&lt;År1,0,T142*(1-VLOOKUP($A143,[1]Hugst!$R$5:$W$9,MATCH(ROUNDUP((U$1)/10,0)*10,[1]Hugst!$R$4:$W$4,0))))</f>
        <v>0</v>
      </c>
      <c r="V143" s="168">
        <f ca="1">IF($C143-V$1&lt;År1,0,U142*(1-VLOOKUP($A143,[1]Hugst!$R$5:$W$9,MATCH(ROUNDUP((V$1)/10,0)*10,[1]Hugst!$R$4:$W$4,0))))</f>
        <v>0</v>
      </c>
      <c r="W143" s="168">
        <f ca="1">IF($C143-W$1&lt;År1,0,V142*(1-VLOOKUP($A143,[1]Hugst!$R$5:$W$9,MATCH(ROUNDUP((W$1)/10,0)*10,[1]Hugst!$R$4:$W$4,0))))</f>
        <v>0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*VLOOKUP(A144,Skovbrug!$A$13:$D$17,IF('Skovbrug-alder'!C144&lt;=År2,3,4),FALSE)-IF(C144&gt;2020,SUM(INDEX($C$1:$D$311,MATCH(1,(2020=$C$1:$C$311)*(B144=$B$1:$B$311)*(A144=$A$1:$A$311),0),2):D143),0))</f>
        <v>0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8">
        <f ca="1">IF($C144-G$1&lt;År1,0,F143*(1-VLOOKUP($A144,[1]Hugst!$R$5:$W$9,MATCH(ROUNDUP((G$1)/10,0)*10,[1]Hugst!$R$4:$W$4,0))))</f>
        <v>0</v>
      </c>
      <c r="H144" s="168">
        <f ca="1">IF($C144-H$1&lt;År1,0,G143*(1-VLOOKUP($A144,[1]Hugst!$R$5:$W$9,MATCH(ROUNDUP((H$1)/10,0)*10,[1]Hugst!$R$4:$W$4,0))))</f>
        <v>0</v>
      </c>
      <c r="I144" s="168">
        <f ca="1">IF($C144-I$1&lt;År1,0,H143*(1-VLOOKUP($A144,[1]Hugst!$R$5:$W$9,MATCH(ROUNDUP((I$1)/10,0)*10,[1]Hugst!$R$4:$W$4,0))))</f>
        <v>0</v>
      </c>
      <c r="J144" s="168">
        <f ca="1">IF($C144-J$1&lt;År1,0,I143*(1-VLOOKUP($A144,[1]Hugst!$R$5:$W$9,MATCH(ROUNDUP((J$1)/10,0)*10,[1]Hugst!$R$4:$W$4,0))))</f>
        <v>0</v>
      </c>
      <c r="K144" s="168">
        <f ca="1">IF($C144-K$1&lt;År1,0,J143*(1-VLOOKUP($A144,[1]Hugst!$R$5:$W$9,MATCH(ROUNDUP((K$1)/10,0)*10,[1]Hugst!$R$4:$W$4,0))))</f>
        <v>0</v>
      </c>
      <c r="L144" s="168">
        <f ca="1">IF($C144-L$1&lt;År1,0,K143*(1-VLOOKUP($A144,[1]Hugst!$R$5:$W$9,MATCH(ROUNDUP((L$1)/10,0)*10,[1]Hugst!$R$4:$W$4,0))))</f>
        <v>0</v>
      </c>
      <c r="M144" s="168">
        <f ca="1">IF($C144-M$1&lt;År1,0,L143*(1-VLOOKUP($A144,[1]Hugst!$R$5:$W$9,MATCH(ROUNDUP((M$1)/10,0)*10,[1]Hugst!$R$4:$W$4,0))))</f>
        <v>0</v>
      </c>
      <c r="N144" s="168">
        <f ca="1">IF($C144-N$1&lt;År1,0,M143*(1-VLOOKUP($A144,[1]Hugst!$R$5:$W$9,MATCH(ROUNDUP((N$1)/10,0)*10,[1]Hugst!$R$4:$W$4,0))))</f>
        <v>0</v>
      </c>
      <c r="O144" s="168">
        <f ca="1">IF($C144-O$1&lt;År1,0,N143*(1-VLOOKUP($A144,[1]Hugst!$R$5:$W$9,MATCH(ROUNDUP((O$1)/10,0)*10,[1]Hugst!$R$4:$W$4,0))))</f>
        <v>0</v>
      </c>
      <c r="P144" s="168">
        <f ca="1">IF($C144-P$1&lt;År1,0,O143*(1-VLOOKUP($A144,[1]Hugst!$R$5:$W$9,MATCH(ROUNDUP((P$1)/10,0)*10,[1]Hugst!$R$4:$W$4,0))))</f>
        <v>0</v>
      </c>
      <c r="Q144" s="168">
        <f ca="1">IF($C144-Q$1&lt;År1,0,P143*(1-VLOOKUP($A144,[1]Hugst!$R$5:$W$9,MATCH(ROUNDUP((Q$1)/10,0)*10,[1]Hugst!$R$4:$W$4,0))))</f>
        <v>0</v>
      </c>
      <c r="R144" s="168">
        <f ca="1">IF($C144-R$1&lt;År1,0,Q143*(1-VLOOKUP($A144,[1]Hugst!$R$5:$W$9,MATCH(ROUNDUP((R$1)/10,0)*10,[1]Hugst!$R$4:$W$4,0))))</f>
        <v>0</v>
      </c>
      <c r="S144" s="168">
        <f ca="1">IF($C144-S$1&lt;År1,0,R143*(1-VLOOKUP($A144,[1]Hugst!$R$5:$W$9,MATCH(ROUNDUP((S$1)/10,0)*10,[1]Hugst!$R$4:$W$4,0))))</f>
        <v>0</v>
      </c>
      <c r="T144" s="168">
        <f ca="1">IF($C144-T$1&lt;År1,0,S143*(1-VLOOKUP($A144,[1]Hugst!$R$5:$W$9,MATCH(ROUNDUP((T$1)/10,0)*10,[1]Hugst!$R$4:$W$4,0))))</f>
        <v>0</v>
      </c>
      <c r="U144" s="168">
        <f ca="1">IF($C144-U$1&lt;År1,0,T143*(1-VLOOKUP($A144,[1]Hugst!$R$5:$W$9,MATCH(ROUNDUP((U$1)/10,0)*10,[1]Hugst!$R$4:$W$4,0))))</f>
        <v>0</v>
      </c>
      <c r="V144" s="168">
        <f ca="1">IF($C144-V$1&lt;År1,0,U143*(1-VLOOKUP($A144,[1]Hugst!$R$5:$W$9,MATCH(ROUNDUP((V$1)/10,0)*10,[1]Hugst!$R$4:$W$4,0))))</f>
        <v>0</v>
      </c>
      <c r="W144" s="168">
        <f ca="1">IF($C144-W$1&lt;År1,0,V143*(1-VLOOKUP($A144,[1]Hugst!$R$5:$W$9,MATCH(ROUNDUP((W$1)/10,0)*10,[1]Hugst!$R$4:$W$4,0))))</f>
        <v>0</v>
      </c>
      <c r="X144" s="168">
        <f ca="1">IF($C144-X$1&lt;År1,0,W143*(1-VLOOKUP($A144,[1]Hugst!$R$5:$W$9,MATCH(ROUNDUP((X$1)/10,0)*10,[1]Hugst!$R$4:$W$4,0))))</f>
        <v>0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*VLOOKUP(A145,Skovbrug!$A$13:$D$17,IF('Skovbrug-alder'!C145&lt;=År2,3,4),FALSE)-IF(C145&gt;2020,SUM(INDEX($C$1:$D$311,MATCH(1,(2020=$C$1:$C$311)*(B145=$B$1:$B$311)*(A145=$A$1:$A$311),0),2):D144),0))</f>
        <v>0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8">
        <f ca="1">IF($C145-G$1&lt;År1,0,F144*(1-VLOOKUP($A145,[1]Hugst!$R$5:$W$9,MATCH(ROUNDUP((G$1)/10,0)*10,[1]Hugst!$R$4:$W$4,0))))</f>
        <v>0</v>
      </c>
      <c r="H145" s="168">
        <f ca="1">IF($C145-H$1&lt;År1,0,G144*(1-VLOOKUP($A145,[1]Hugst!$R$5:$W$9,MATCH(ROUNDUP((H$1)/10,0)*10,[1]Hugst!$R$4:$W$4,0))))</f>
        <v>0</v>
      </c>
      <c r="I145" s="168">
        <f ca="1">IF($C145-I$1&lt;År1,0,H144*(1-VLOOKUP($A145,[1]Hugst!$R$5:$W$9,MATCH(ROUNDUP((I$1)/10,0)*10,[1]Hugst!$R$4:$W$4,0))))</f>
        <v>0</v>
      </c>
      <c r="J145" s="168">
        <f ca="1">IF($C145-J$1&lt;År1,0,I144*(1-VLOOKUP($A145,[1]Hugst!$R$5:$W$9,MATCH(ROUNDUP((J$1)/10,0)*10,[1]Hugst!$R$4:$W$4,0))))</f>
        <v>0</v>
      </c>
      <c r="K145" s="168">
        <f ca="1">IF($C145-K$1&lt;År1,0,J144*(1-VLOOKUP($A145,[1]Hugst!$R$5:$W$9,MATCH(ROUNDUP((K$1)/10,0)*10,[1]Hugst!$R$4:$W$4,0))))</f>
        <v>0</v>
      </c>
      <c r="L145" s="168">
        <f ca="1">IF($C145-L$1&lt;År1,0,K144*(1-VLOOKUP($A145,[1]Hugst!$R$5:$W$9,MATCH(ROUNDUP((L$1)/10,0)*10,[1]Hugst!$R$4:$W$4,0))))</f>
        <v>0</v>
      </c>
      <c r="M145" s="168">
        <f ca="1">IF($C145-M$1&lt;År1,0,L144*(1-VLOOKUP($A145,[1]Hugst!$R$5:$W$9,MATCH(ROUNDUP((M$1)/10,0)*10,[1]Hugst!$R$4:$W$4,0))))</f>
        <v>0</v>
      </c>
      <c r="N145" s="168">
        <f ca="1">IF($C145-N$1&lt;År1,0,M144*(1-VLOOKUP($A145,[1]Hugst!$R$5:$W$9,MATCH(ROUNDUP((N$1)/10,0)*10,[1]Hugst!$R$4:$W$4,0))))</f>
        <v>0</v>
      </c>
      <c r="O145" s="168">
        <f ca="1">IF($C145-O$1&lt;År1,0,N144*(1-VLOOKUP($A145,[1]Hugst!$R$5:$W$9,MATCH(ROUNDUP((O$1)/10,0)*10,[1]Hugst!$R$4:$W$4,0))))</f>
        <v>0</v>
      </c>
      <c r="P145" s="168">
        <f ca="1">IF($C145-P$1&lt;År1,0,O144*(1-VLOOKUP($A145,[1]Hugst!$R$5:$W$9,MATCH(ROUNDUP((P$1)/10,0)*10,[1]Hugst!$R$4:$W$4,0))))</f>
        <v>0</v>
      </c>
      <c r="Q145" s="168">
        <f ca="1">IF($C145-Q$1&lt;År1,0,P144*(1-VLOOKUP($A145,[1]Hugst!$R$5:$W$9,MATCH(ROUNDUP((Q$1)/10,0)*10,[1]Hugst!$R$4:$W$4,0))))</f>
        <v>0</v>
      </c>
      <c r="R145" s="168">
        <f ca="1">IF($C145-R$1&lt;År1,0,Q144*(1-VLOOKUP($A145,[1]Hugst!$R$5:$W$9,MATCH(ROUNDUP((R$1)/10,0)*10,[1]Hugst!$R$4:$W$4,0))))</f>
        <v>0</v>
      </c>
      <c r="S145" s="168">
        <f ca="1">IF($C145-S$1&lt;År1,0,R144*(1-VLOOKUP($A145,[1]Hugst!$R$5:$W$9,MATCH(ROUNDUP((S$1)/10,0)*10,[1]Hugst!$R$4:$W$4,0))))</f>
        <v>0</v>
      </c>
      <c r="T145" s="168">
        <f ca="1">IF($C145-T$1&lt;År1,0,S144*(1-VLOOKUP($A145,[1]Hugst!$R$5:$W$9,MATCH(ROUNDUP((T$1)/10,0)*10,[1]Hugst!$R$4:$W$4,0))))</f>
        <v>0</v>
      </c>
      <c r="U145" s="168">
        <f ca="1">IF($C145-U$1&lt;År1,0,T144*(1-VLOOKUP($A145,[1]Hugst!$R$5:$W$9,MATCH(ROUNDUP((U$1)/10,0)*10,[1]Hugst!$R$4:$W$4,0))))</f>
        <v>0</v>
      </c>
      <c r="V145" s="168">
        <f ca="1">IF($C145-V$1&lt;År1,0,U144*(1-VLOOKUP($A145,[1]Hugst!$R$5:$W$9,MATCH(ROUNDUP((V$1)/10,0)*10,[1]Hugst!$R$4:$W$4,0))))</f>
        <v>0</v>
      </c>
      <c r="W145" s="168">
        <f ca="1">IF($C145-W$1&lt;År1,0,V144*(1-VLOOKUP($A145,[1]Hugst!$R$5:$W$9,MATCH(ROUNDUP((W$1)/10,0)*10,[1]Hugst!$R$4:$W$4,0))))</f>
        <v>0</v>
      </c>
      <c r="X145" s="168">
        <f ca="1">IF($C145-X$1&lt;År1,0,W144*(1-VLOOKUP($A145,[1]Hugst!$R$5:$W$9,MATCH(ROUNDUP((X$1)/10,0)*10,[1]Hugst!$R$4:$W$4,0))))</f>
        <v>0</v>
      </c>
      <c r="Y145" s="168">
        <f ca="1">IF($C145-Y$1&lt;År1,0,X144*(1-VLOOKUP($A145,[1]Hugst!$R$5:$W$9,MATCH(ROUNDUP((Y$1)/10,0)*10,[1]Hugst!$R$4:$W$4,0))))</f>
        <v>0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*VLOOKUP(A146,Skovbrug!$A$13:$D$17,IF('Skovbrug-alder'!C146&lt;=År2,3,4),FALSE)-IF(C146&gt;2020,SUM(INDEX($C$1:$D$311,MATCH(1,(2020=$C$1:$C$311)*(B146=$B$1:$B$311)*(A146=$A$1:$A$311),0),2):D145),0))</f>
        <v>0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8">
        <f ca="1">IF($C146-G$1&lt;År1,0,F145*(1-VLOOKUP($A146,[1]Hugst!$R$5:$W$9,MATCH(ROUNDUP((G$1)/10,0)*10,[1]Hugst!$R$4:$W$4,0))))</f>
        <v>0</v>
      </c>
      <c r="H146" s="168">
        <f ca="1">IF($C146-H$1&lt;År1,0,G145*(1-VLOOKUP($A146,[1]Hugst!$R$5:$W$9,MATCH(ROUNDUP((H$1)/10,0)*10,[1]Hugst!$R$4:$W$4,0))))</f>
        <v>0</v>
      </c>
      <c r="I146" s="168">
        <f ca="1">IF($C146-I$1&lt;År1,0,H145*(1-VLOOKUP($A146,[1]Hugst!$R$5:$W$9,MATCH(ROUNDUP((I$1)/10,0)*10,[1]Hugst!$R$4:$W$4,0))))</f>
        <v>0</v>
      </c>
      <c r="J146" s="168">
        <f ca="1">IF($C146-J$1&lt;År1,0,I145*(1-VLOOKUP($A146,[1]Hugst!$R$5:$W$9,MATCH(ROUNDUP((J$1)/10,0)*10,[1]Hugst!$R$4:$W$4,0))))</f>
        <v>0</v>
      </c>
      <c r="K146" s="168">
        <f ca="1">IF($C146-K$1&lt;År1,0,J145*(1-VLOOKUP($A146,[1]Hugst!$R$5:$W$9,MATCH(ROUNDUP((K$1)/10,0)*10,[1]Hugst!$R$4:$W$4,0))))</f>
        <v>0</v>
      </c>
      <c r="L146" s="168">
        <f ca="1">IF($C146-L$1&lt;År1,0,K145*(1-VLOOKUP($A146,[1]Hugst!$R$5:$W$9,MATCH(ROUNDUP((L$1)/10,0)*10,[1]Hugst!$R$4:$W$4,0))))</f>
        <v>0</v>
      </c>
      <c r="M146" s="168">
        <f ca="1">IF($C146-M$1&lt;År1,0,L145*(1-VLOOKUP($A146,[1]Hugst!$R$5:$W$9,MATCH(ROUNDUP((M$1)/10,0)*10,[1]Hugst!$R$4:$W$4,0))))</f>
        <v>0</v>
      </c>
      <c r="N146" s="168">
        <f ca="1">IF($C146-N$1&lt;År1,0,M145*(1-VLOOKUP($A146,[1]Hugst!$R$5:$W$9,MATCH(ROUNDUP((N$1)/10,0)*10,[1]Hugst!$R$4:$W$4,0))))</f>
        <v>0</v>
      </c>
      <c r="O146" s="168">
        <f ca="1">IF($C146-O$1&lt;År1,0,N145*(1-VLOOKUP($A146,[1]Hugst!$R$5:$W$9,MATCH(ROUNDUP((O$1)/10,0)*10,[1]Hugst!$R$4:$W$4,0))))</f>
        <v>0</v>
      </c>
      <c r="P146" s="168">
        <f ca="1">IF($C146-P$1&lt;År1,0,O145*(1-VLOOKUP($A146,[1]Hugst!$R$5:$W$9,MATCH(ROUNDUP((P$1)/10,0)*10,[1]Hugst!$R$4:$W$4,0))))</f>
        <v>0</v>
      </c>
      <c r="Q146" s="168">
        <f ca="1">IF($C146-Q$1&lt;År1,0,P145*(1-VLOOKUP($A146,[1]Hugst!$R$5:$W$9,MATCH(ROUNDUP((Q$1)/10,0)*10,[1]Hugst!$R$4:$W$4,0))))</f>
        <v>0</v>
      </c>
      <c r="R146" s="168">
        <f ca="1">IF($C146-R$1&lt;År1,0,Q145*(1-VLOOKUP($A146,[1]Hugst!$R$5:$W$9,MATCH(ROUNDUP((R$1)/10,0)*10,[1]Hugst!$R$4:$W$4,0))))</f>
        <v>0</v>
      </c>
      <c r="S146" s="168">
        <f ca="1">IF($C146-S$1&lt;År1,0,R145*(1-VLOOKUP($A146,[1]Hugst!$R$5:$W$9,MATCH(ROUNDUP((S$1)/10,0)*10,[1]Hugst!$R$4:$W$4,0))))</f>
        <v>0</v>
      </c>
      <c r="T146" s="168">
        <f ca="1">IF($C146-T$1&lt;År1,0,S145*(1-VLOOKUP($A146,[1]Hugst!$R$5:$W$9,MATCH(ROUNDUP((T$1)/10,0)*10,[1]Hugst!$R$4:$W$4,0))))</f>
        <v>0</v>
      </c>
      <c r="U146" s="168">
        <f ca="1">IF($C146-U$1&lt;År1,0,T145*(1-VLOOKUP($A146,[1]Hugst!$R$5:$W$9,MATCH(ROUNDUP((U$1)/10,0)*10,[1]Hugst!$R$4:$W$4,0))))</f>
        <v>0</v>
      </c>
      <c r="V146" s="168">
        <f ca="1">IF($C146-V$1&lt;År1,0,U145*(1-VLOOKUP($A146,[1]Hugst!$R$5:$W$9,MATCH(ROUNDUP((V$1)/10,0)*10,[1]Hugst!$R$4:$W$4,0))))</f>
        <v>0</v>
      </c>
      <c r="W146" s="168">
        <f ca="1">IF($C146-W$1&lt;År1,0,V145*(1-VLOOKUP($A146,[1]Hugst!$R$5:$W$9,MATCH(ROUNDUP((W$1)/10,0)*10,[1]Hugst!$R$4:$W$4,0))))</f>
        <v>0</v>
      </c>
      <c r="X146" s="168">
        <f ca="1">IF($C146-X$1&lt;År1,0,W145*(1-VLOOKUP($A146,[1]Hugst!$R$5:$W$9,MATCH(ROUNDUP((X$1)/10,0)*10,[1]Hugst!$R$4:$W$4,0))))</f>
        <v>0</v>
      </c>
      <c r="Y146" s="168">
        <f ca="1">IF($C146-Y$1&lt;År1,0,X145*(1-VLOOKUP($A146,[1]Hugst!$R$5:$W$9,MATCH(ROUNDUP((Y$1)/10,0)*10,[1]Hugst!$R$4:$W$4,0))))</f>
        <v>0</v>
      </c>
      <c r="Z146" s="168">
        <f ca="1">IF($C146-Z$1&lt;År1,0,Y145*(1-VLOOKUP($A146,[1]Hugst!$R$5:$W$9,MATCH(ROUNDUP((Z$1)/10,0)*10,[1]Hugst!$R$4:$W$4,0))))</f>
        <v>0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*VLOOKUP(A147,Skovbrug!$A$13:$D$17,IF('Skovbrug-alder'!C147&lt;=År2,3,4),FALSE)-IF(C147&gt;2020,SUM(INDEX($C$1:$D$311,MATCH(1,(2020=$C$1:$C$311)*(B147=$B$1:$B$311)*(A147=$A$1:$A$311),0),2):D146),0))</f>
        <v>0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8">
        <f ca="1">IF($C147-G$1&lt;År1,0,F146*(1-VLOOKUP($A147,[1]Hugst!$R$5:$W$9,MATCH(ROUNDUP((G$1)/10,0)*10,[1]Hugst!$R$4:$W$4,0))))</f>
        <v>0</v>
      </c>
      <c r="H147" s="168">
        <f ca="1">IF($C147-H$1&lt;År1,0,G146*(1-VLOOKUP($A147,[1]Hugst!$R$5:$W$9,MATCH(ROUNDUP((H$1)/10,0)*10,[1]Hugst!$R$4:$W$4,0))))</f>
        <v>0</v>
      </c>
      <c r="I147" s="168">
        <f ca="1">IF($C147-I$1&lt;År1,0,H146*(1-VLOOKUP($A147,[1]Hugst!$R$5:$W$9,MATCH(ROUNDUP((I$1)/10,0)*10,[1]Hugst!$R$4:$W$4,0))))</f>
        <v>0</v>
      </c>
      <c r="J147" s="168">
        <f ca="1">IF($C147-J$1&lt;År1,0,I146*(1-VLOOKUP($A147,[1]Hugst!$R$5:$W$9,MATCH(ROUNDUP((J$1)/10,0)*10,[1]Hugst!$R$4:$W$4,0))))</f>
        <v>0</v>
      </c>
      <c r="K147" s="168">
        <f ca="1">IF($C147-K$1&lt;År1,0,J146*(1-VLOOKUP($A147,[1]Hugst!$R$5:$W$9,MATCH(ROUNDUP((K$1)/10,0)*10,[1]Hugst!$R$4:$W$4,0))))</f>
        <v>0</v>
      </c>
      <c r="L147" s="168">
        <f ca="1">IF($C147-L$1&lt;År1,0,K146*(1-VLOOKUP($A147,[1]Hugst!$R$5:$W$9,MATCH(ROUNDUP((L$1)/10,0)*10,[1]Hugst!$R$4:$W$4,0))))</f>
        <v>0</v>
      </c>
      <c r="M147" s="168">
        <f ca="1">IF($C147-M$1&lt;År1,0,L146*(1-VLOOKUP($A147,[1]Hugst!$R$5:$W$9,MATCH(ROUNDUP((M$1)/10,0)*10,[1]Hugst!$R$4:$W$4,0))))</f>
        <v>0</v>
      </c>
      <c r="N147" s="168">
        <f ca="1">IF($C147-N$1&lt;År1,0,M146*(1-VLOOKUP($A147,[1]Hugst!$R$5:$W$9,MATCH(ROUNDUP((N$1)/10,0)*10,[1]Hugst!$R$4:$W$4,0))))</f>
        <v>0</v>
      </c>
      <c r="O147" s="168">
        <f ca="1">IF($C147-O$1&lt;År1,0,N146*(1-VLOOKUP($A147,[1]Hugst!$R$5:$W$9,MATCH(ROUNDUP((O$1)/10,0)*10,[1]Hugst!$R$4:$W$4,0))))</f>
        <v>0</v>
      </c>
      <c r="P147" s="168">
        <f ca="1">IF($C147-P$1&lt;År1,0,O146*(1-VLOOKUP($A147,[1]Hugst!$R$5:$W$9,MATCH(ROUNDUP((P$1)/10,0)*10,[1]Hugst!$R$4:$W$4,0))))</f>
        <v>0</v>
      </c>
      <c r="Q147" s="168">
        <f ca="1">IF($C147-Q$1&lt;År1,0,P146*(1-VLOOKUP($A147,[1]Hugst!$R$5:$W$9,MATCH(ROUNDUP((Q$1)/10,0)*10,[1]Hugst!$R$4:$W$4,0))))</f>
        <v>0</v>
      </c>
      <c r="R147" s="168">
        <f ca="1">IF($C147-R$1&lt;År1,0,Q146*(1-VLOOKUP($A147,[1]Hugst!$R$5:$W$9,MATCH(ROUNDUP((R$1)/10,0)*10,[1]Hugst!$R$4:$W$4,0))))</f>
        <v>0</v>
      </c>
      <c r="S147" s="168">
        <f ca="1">IF($C147-S$1&lt;År1,0,R146*(1-VLOOKUP($A147,[1]Hugst!$R$5:$W$9,MATCH(ROUNDUP((S$1)/10,0)*10,[1]Hugst!$R$4:$W$4,0))))</f>
        <v>0</v>
      </c>
      <c r="T147" s="168">
        <f ca="1">IF($C147-T$1&lt;År1,0,S146*(1-VLOOKUP($A147,[1]Hugst!$R$5:$W$9,MATCH(ROUNDUP((T$1)/10,0)*10,[1]Hugst!$R$4:$W$4,0))))</f>
        <v>0</v>
      </c>
      <c r="U147" s="168">
        <f ca="1">IF($C147-U$1&lt;År1,0,T146*(1-VLOOKUP($A147,[1]Hugst!$R$5:$W$9,MATCH(ROUNDUP((U$1)/10,0)*10,[1]Hugst!$R$4:$W$4,0))))</f>
        <v>0</v>
      </c>
      <c r="V147" s="168">
        <f ca="1">IF($C147-V$1&lt;År1,0,U146*(1-VLOOKUP($A147,[1]Hugst!$R$5:$W$9,MATCH(ROUNDUP((V$1)/10,0)*10,[1]Hugst!$R$4:$W$4,0))))</f>
        <v>0</v>
      </c>
      <c r="W147" s="168">
        <f ca="1">IF($C147-W$1&lt;År1,0,V146*(1-VLOOKUP($A147,[1]Hugst!$R$5:$W$9,MATCH(ROUNDUP((W$1)/10,0)*10,[1]Hugst!$R$4:$W$4,0))))</f>
        <v>0</v>
      </c>
      <c r="X147" s="168">
        <f ca="1">IF($C147-X$1&lt;År1,0,W146*(1-VLOOKUP($A147,[1]Hugst!$R$5:$W$9,MATCH(ROUNDUP((X$1)/10,0)*10,[1]Hugst!$R$4:$W$4,0))))</f>
        <v>0</v>
      </c>
      <c r="Y147" s="168">
        <f ca="1">IF($C147-Y$1&lt;År1,0,X146*(1-VLOOKUP($A147,[1]Hugst!$R$5:$W$9,MATCH(ROUNDUP((Y$1)/10,0)*10,[1]Hugst!$R$4:$W$4,0))))</f>
        <v>0</v>
      </c>
      <c r="Z147" s="168">
        <f ca="1">IF($C147-Z$1&lt;År1,0,Y146*(1-VLOOKUP($A147,[1]Hugst!$R$5:$W$9,MATCH(ROUNDUP((Z$1)/10,0)*10,[1]Hugst!$R$4:$W$4,0))))</f>
        <v>0</v>
      </c>
      <c r="AA147" s="168">
        <f ca="1">IF($C147-AA$1&lt;År1,0,Z146*(1-VLOOKUP($A147,[1]Hugst!$R$5:$W$9,MATCH(ROUNDUP((AA$1)/10,0)*10,[1]Hugst!$R$4:$W$4,0))))</f>
        <v>0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*VLOOKUP(A148,Skovbrug!$A$13:$D$17,IF('Skovbrug-alder'!C148&lt;=År2,3,4),FALSE)-IF(C148&gt;2020,SUM(INDEX($C$1:$D$311,MATCH(1,(2020=$C$1:$C$311)*(B148=$B$1:$B$311)*(A148=$A$1:$A$311),0),2):D147),0))</f>
        <v>0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8">
        <f ca="1">IF($C148-G$1&lt;År1,0,F147*(1-VLOOKUP($A148,[1]Hugst!$R$5:$W$9,MATCH(ROUNDUP((G$1)/10,0)*10,[1]Hugst!$R$4:$W$4,0))))</f>
        <v>0</v>
      </c>
      <c r="H148" s="168">
        <f ca="1">IF($C148-H$1&lt;År1,0,G147*(1-VLOOKUP($A148,[1]Hugst!$R$5:$W$9,MATCH(ROUNDUP((H$1)/10,0)*10,[1]Hugst!$R$4:$W$4,0))))</f>
        <v>0</v>
      </c>
      <c r="I148" s="168">
        <f ca="1">IF($C148-I$1&lt;År1,0,H147*(1-VLOOKUP($A148,[1]Hugst!$R$5:$W$9,MATCH(ROUNDUP((I$1)/10,0)*10,[1]Hugst!$R$4:$W$4,0))))</f>
        <v>0</v>
      </c>
      <c r="J148" s="168">
        <f ca="1">IF($C148-J$1&lt;År1,0,I147*(1-VLOOKUP($A148,[1]Hugst!$R$5:$W$9,MATCH(ROUNDUP((J$1)/10,0)*10,[1]Hugst!$R$4:$W$4,0))))</f>
        <v>0</v>
      </c>
      <c r="K148" s="168">
        <f ca="1">IF($C148-K$1&lt;År1,0,J147*(1-VLOOKUP($A148,[1]Hugst!$R$5:$W$9,MATCH(ROUNDUP((K$1)/10,0)*10,[1]Hugst!$R$4:$W$4,0))))</f>
        <v>0</v>
      </c>
      <c r="L148" s="168">
        <f ca="1">IF($C148-L$1&lt;År1,0,K147*(1-VLOOKUP($A148,[1]Hugst!$R$5:$W$9,MATCH(ROUNDUP((L$1)/10,0)*10,[1]Hugst!$R$4:$W$4,0))))</f>
        <v>0</v>
      </c>
      <c r="M148" s="168">
        <f ca="1">IF($C148-M$1&lt;År1,0,L147*(1-VLOOKUP($A148,[1]Hugst!$R$5:$W$9,MATCH(ROUNDUP((M$1)/10,0)*10,[1]Hugst!$R$4:$W$4,0))))</f>
        <v>0</v>
      </c>
      <c r="N148" s="168">
        <f ca="1">IF($C148-N$1&lt;År1,0,M147*(1-VLOOKUP($A148,[1]Hugst!$R$5:$W$9,MATCH(ROUNDUP((N$1)/10,0)*10,[1]Hugst!$R$4:$W$4,0))))</f>
        <v>0</v>
      </c>
      <c r="O148" s="168">
        <f ca="1">IF($C148-O$1&lt;År1,0,N147*(1-VLOOKUP($A148,[1]Hugst!$R$5:$W$9,MATCH(ROUNDUP((O$1)/10,0)*10,[1]Hugst!$R$4:$W$4,0))))</f>
        <v>0</v>
      </c>
      <c r="P148" s="168">
        <f ca="1">IF($C148-P$1&lt;År1,0,O147*(1-VLOOKUP($A148,[1]Hugst!$R$5:$W$9,MATCH(ROUNDUP((P$1)/10,0)*10,[1]Hugst!$R$4:$W$4,0))))</f>
        <v>0</v>
      </c>
      <c r="Q148" s="168">
        <f ca="1">IF($C148-Q$1&lt;År1,0,P147*(1-VLOOKUP($A148,[1]Hugst!$R$5:$W$9,MATCH(ROUNDUP((Q$1)/10,0)*10,[1]Hugst!$R$4:$W$4,0))))</f>
        <v>0</v>
      </c>
      <c r="R148" s="168">
        <f ca="1">IF($C148-R$1&lt;År1,0,Q147*(1-VLOOKUP($A148,[1]Hugst!$R$5:$W$9,MATCH(ROUNDUP((R$1)/10,0)*10,[1]Hugst!$R$4:$W$4,0))))</f>
        <v>0</v>
      </c>
      <c r="S148" s="168">
        <f ca="1">IF($C148-S$1&lt;År1,0,R147*(1-VLOOKUP($A148,[1]Hugst!$R$5:$W$9,MATCH(ROUNDUP((S$1)/10,0)*10,[1]Hugst!$R$4:$W$4,0))))</f>
        <v>0</v>
      </c>
      <c r="T148" s="168">
        <f ca="1">IF($C148-T$1&lt;År1,0,S147*(1-VLOOKUP($A148,[1]Hugst!$R$5:$W$9,MATCH(ROUNDUP((T$1)/10,0)*10,[1]Hugst!$R$4:$W$4,0))))</f>
        <v>0</v>
      </c>
      <c r="U148" s="168">
        <f ca="1">IF($C148-U$1&lt;År1,0,T147*(1-VLOOKUP($A148,[1]Hugst!$R$5:$W$9,MATCH(ROUNDUP((U$1)/10,0)*10,[1]Hugst!$R$4:$W$4,0))))</f>
        <v>0</v>
      </c>
      <c r="V148" s="168">
        <f ca="1">IF($C148-V$1&lt;År1,0,U147*(1-VLOOKUP($A148,[1]Hugst!$R$5:$W$9,MATCH(ROUNDUP((V$1)/10,0)*10,[1]Hugst!$R$4:$W$4,0))))</f>
        <v>0</v>
      </c>
      <c r="W148" s="168">
        <f ca="1">IF($C148-W$1&lt;År1,0,V147*(1-VLOOKUP($A148,[1]Hugst!$R$5:$W$9,MATCH(ROUNDUP((W$1)/10,0)*10,[1]Hugst!$R$4:$W$4,0))))</f>
        <v>0</v>
      </c>
      <c r="X148" s="168">
        <f ca="1">IF($C148-X$1&lt;År1,0,W147*(1-VLOOKUP($A148,[1]Hugst!$R$5:$W$9,MATCH(ROUNDUP((X$1)/10,0)*10,[1]Hugst!$R$4:$W$4,0))))</f>
        <v>0</v>
      </c>
      <c r="Y148" s="168">
        <f ca="1">IF($C148-Y$1&lt;År1,0,X147*(1-VLOOKUP($A148,[1]Hugst!$R$5:$W$9,MATCH(ROUNDUP((Y$1)/10,0)*10,[1]Hugst!$R$4:$W$4,0))))</f>
        <v>0</v>
      </c>
      <c r="Z148" s="168">
        <f ca="1">IF($C148-Z$1&lt;År1,0,Y147*(1-VLOOKUP($A148,[1]Hugst!$R$5:$W$9,MATCH(ROUNDUP((Z$1)/10,0)*10,[1]Hugst!$R$4:$W$4,0))))</f>
        <v>0</v>
      </c>
      <c r="AA148" s="168">
        <f ca="1">IF($C148-AA$1&lt;År1,0,Z147*(1-VLOOKUP($A148,[1]Hugst!$R$5:$W$9,MATCH(ROUNDUP((AA$1)/10,0)*10,[1]Hugst!$R$4:$W$4,0))))</f>
        <v>0</v>
      </c>
      <c r="AB148" s="168">
        <f ca="1">IF($C148-AB$1&lt;År1,0,AA147*(1-VLOOKUP($A148,[1]Hugst!$R$5:$W$9,MATCH(ROUNDUP((AB$1)/10,0)*10,[1]Hugst!$R$4:$W$4,0))))</f>
        <v>0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*VLOOKUP(A149,Skovbrug!$A$13:$D$17,IF('Skovbrug-alder'!C149&lt;=År2,3,4),FALSE)-IF(C149&gt;2020,SUM(INDEX($C$1:$D$311,MATCH(1,(2020=$C$1:$C$311)*(B149=$B$1:$B$311)*(A149=$A$1:$A$311),0),2):D148),0))</f>
        <v>0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8">
        <f ca="1">IF($C149-G$1&lt;År1,0,F148*(1-VLOOKUP($A149,[1]Hugst!$R$5:$W$9,MATCH(ROUNDUP((G$1)/10,0)*10,[1]Hugst!$R$4:$W$4,0))))</f>
        <v>0</v>
      </c>
      <c r="H149" s="168">
        <f ca="1">IF($C149-H$1&lt;År1,0,G148*(1-VLOOKUP($A149,[1]Hugst!$R$5:$W$9,MATCH(ROUNDUP((H$1)/10,0)*10,[1]Hugst!$R$4:$W$4,0))))</f>
        <v>0</v>
      </c>
      <c r="I149" s="168">
        <f ca="1">IF($C149-I$1&lt;År1,0,H148*(1-VLOOKUP($A149,[1]Hugst!$R$5:$W$9,MATCH(ROUNDUP((I$1)/10,0)*10,[1]Hugst!$R$4:$W$4,0))))</f>
        <v>0</v>
      </c>
      <c r="J149" s="168">
        <f ca="1">IF($C149-J$1&lt;År1,0,I148*(1-VLOOKUP($A149,[1]Hugst!$R$5:$W$9,MATCH(ROUNDUP((J$1)/10,0)*10,[1]Hugst!$R$4:$W$4,0))))</f>
        <v>0</v>
      </c>
      <c r="K149" s="168">
        <f ca="1">IF($C149-K$1&lt;År1,0,J148*(1-VLOOKUP($A149,[1]Hugst!$R$5:$W$9,MATCH(ROUNDUP((K$1)/10,0)*10,[1]Hugst!$R$4:$W$4,0))))</f>
        <v>0</v>
      </c>
      <c r="L149" s="168">
        <f ca="1">IF($C149-L$1&lt;År1,0,K148*(1-VLOOKUP($A149,[1]Hugst!$R$5:$W$9,MATCH(ROUNDUP((L$1)/10,0)*10,[1]Hugst!$R$4:$W$4,0))))</f>
        <v>0</v>
      </c>
      <c r="M149" s="168">
        <f ca="1">IF($C149-M$1&lt;År1,0,L148*(1-VLOOKUP($A149,[1]Hugst!$R$5:$W$9,MATCH(ROUNDUP((M$1)/10,0)*10,[1]Hugst!$R$4:$W$4,0))))</f>
        <v>0</v>
      </c>
      <c r="N149" s="168">
        <f ca="1">IF($C149-N$1&lt;År1,0,M148*(1-VLOOKUP($A149,[1]Hugst!$R$5:$W$9,MATCH(ROUNDUP((N$1)/10,0)*10,[1]Hugst!$R$4:$W$4,0))))</f>
        <v>0</v>
      </c>
      <c r="O149" s="168">
        <f ca="1">IF($C149-O$1&lt;År1,0,N148*(1-VLOOKUP($A149,[1]Hugst!$R$5:$W$9,MATCH(ROUNDUP((O$1)/10,0)*10,[1]Hugst!$R$4:$W$4,0))))</f>
        <v>0</v>
      </c>
      <c r="P149" s="168">
        <f ca="1">IF($C149-P$1&lt;År1,0,O148*(1-VLOOKUP($A149,[1]Hugst!$R$5:$W$9,MATCH(ROUNDUP((P$1)/10,0)*10,[1]Hugst!$R$4:$W$4,0))))</f>
        <v>0</v>
      </c>
      <c r="Q149" s="168">
        <f ca="1">IF($C149-Q$1&lt;År1,0,P148*(1-VLOOKUP($A149,[1]Hugst!$R$5:$W$9,MATCH(ROUNDUP((Q$1)/10,0)*10,[1]Hugst!$R$4:$W$4,0))))</f>
        <v>0</v>
      </c>
      <c r="R149" s="168">
        <f ca="1">IF($C149-R$1&lt;År1,0,Q148*(1-VLOOKUP($A149,[1]Hugst!$R$5:$W$9,MATCH(ROUNDUP((R$1)/10,0)*10,[1]Hugst!$R$4:$W$4,0))))</f>
        <v>0</v>
      </c>
      <c r="S149" s="168">
        <f ca="1">IF($C149-S$1&lt;År1,0,R148*(1-VLOOKUP($A149,[1]Hugst!$R$5:$W$9,MATCH(ROUNDUP((S$1)/10,0)*10,[1]Hugst!$R$4:$W$4,0))))</f>
        <v>0</v>
      </c>
      <c r="T149" s="168">
        <f ca="1">IF($C149-T$1&lt;År1,0,S148*(1-VLOOKUP($A149,[1]Hugst!$R$5:$W$9,MATCH(ROUNDUP((T$1)/10,0)*10,[1]Hugst!$R$4:$W$4,0))))</f>
        <v>0</v>
      </c>
      <c r="U149" s="168">
        <f ca="1">IF($C149-U$1&lt;År1,0,T148*(1-VLOOKUP($A149,[1]Hugst!$R$5:$W$9,MATCH(ROUNDUP((U$1)/10,0)*10,[1]Hugst!$R$4:$W$4,0))))</f>
        <v>0</v>
      </c>
      <c r="V149" s="168">
        <f ca="1">IF($C149-V$1&lt;År1,0,U148*(1-VLOOKUP($A149,[1]Hugst!$R$5:$W$9,MATCH(ROUNDUP((V$1)/10,0)*10,[1]Hugst!$R$4:$W$4,0))))</f>
        <v>0</v>
      </c>
      <c r="W149" s="168">
        <f ca="1">IF($C149-W$1&lt;År1,0,V148*(1-VLOOKUP($A149,[1]Hugst!$R$5:$W$9,MATCH(ROUNDUP((W$1)/10,0)*10,[1]Hugst!$R$4:$W$4,0))))</f>
        <v>0</v>
      </c>
      <c r="X149" s="168">
        <f ca="1">IF($C149-X$1&lt;År1,0,W148*(1-VLOOKUP($A149,[1]Hugst!$R$5:$W$9,MATCH(ROUNDUP((X$1)/10,0)*10,[1]Hugst!$R$4:$W$4,0))))</f>
        <v>0</v>
      </c>
      <c r="Y149" s="168">
        <f ca="1">IF($C149-Y$1&lt;År1,0,X148*(1-VLOOKUP($A149,[1]Hugst!$R$5:$W$9,MATCH(ROUNDUP((Y$1)/10,0)*10,[1]Hugst!$R$4:$W$4,0))))</f>
        <v>0</v>
      </c>
      <c r="Z149" s="168">
        <f ca="1">IF($C149-Z$1&lt;År1,0,Y148*(1-VLOOKUP($A149,[1]Hugst!$R$5:$W$9,MATCH(ROUNDUP((Z$1)/10,0)*10,[1]Hugst!$R$4:$W$4,0))))</f>
        <v>0</v>
      </c>
      <c r="AA149" s="168">
        <f ca="1">IF($C149-AA$1&lt;År1,0,Z148*(1-VLOOKUP($A149,[1]Hugst!$R$5:$W$9,MATCH(ROUNDUP((AA$1)/10,0)*10,[1]Hugst!$R$4:$W$4,0))))</f>
        <v>0</v>
      </c>
      <c r="AB149" s="168">
        <f ca="1">IF($C149-AB$1&lt;År1,0,AA148*(1-VLOOKUP($A149,[1]Hugst!$R$5:$W$9,MATCH(ROUNDUP((AB$1)/10,0)*10,[1]Hugst!$R$4:$W$4,0))))</f>
        <v>0</v>
      </c>
      <c r="AC149" s="168">
        <f ca="1">IF($C149-AC$1&lt;År1,0,AB148*(1-VLOOKUP($A149,[1]Hugst!$R$5:$W$9,MATCH(ROUNDUP((AC$1)/10,0)*10,[1]Hugst!$R$4:$W$4,0))))</f>
        <v>0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*VLOOKUP(A150,Skovbrug!$A$13:$D$17,IF('Skovbrug-alder'!C150&lt;=År2,3,4),FALSE)-IF(C150&gt;2020,SUM(INDEX($C$1:$D$311,MATCH(1,(2020=$C$1:$C$311)*(B150=$B$1:$B$311)*(A150=$A$1:$A$311),0),2):D149),0))</f>
        <v>0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8">
        <f ca="1">IF($C150-G$1&lt;År1,0,F149*(1-VLOOKUP($A150,[1]Hugst!$R$5:$W$9,MATCH(ROUNDUP((G$1)/10,0)*10,[1]Hugst!$R$4:$W$4,0))))</f>
        <v>0</v>
      </c>
      <c r="H150" s="168">
        <f ca="1">IF($C150-H$1&lt;År1,0,G149*(1-VLOOKUP($A150,[1]Hugst!$R$5:$W$9,MATCH(ROUNDUP((H$1)/10,0)*10,[1]Hugst!$R$4:$W$4,0))))</f>
        <v>0</v>
      </c>
      <c r="I150" s="168">
        <f ca="1">IF($C150-I$1&lt;År1,0,H149*(1-VLOOKUP($A150,[1]Hugst!$R$5:$W$9,MATCH(ROUNDUP((I$1)/10,0)*10,[1]Hugst!$R$4:$W$4,0))))</f>
        <v>0</v>
      </c>
      <c r="J150" s="168">
        <f ca="1">IF($C150-J$1&lt;År1,0,I149*(1-VLOOKUP($A150,[1]Hugst!$R$5:$W$9,MATCH(ROUNDUP((J$1)/10,0)*10,[1]Hugst!$R$4:$W$4,0))))</f>
        <v>0</v>
      </c>
      <c r="K150" s="168">
        <f ca="1">IF($C150-K$1&lt;År1,0,J149*(1-VLOOKUP($A150,[1]Hugst!$R$5:$W$9,MATCH(ROUNDUP((K$1)/10,0)*10,[1]Hugst!$R$4:$W$4,0))))</f>
        <v>0</v>
      </c>
      <c r="L150" s="168">
        <f ca="1">IF($C150-L$1&lt;År1,0,K149*(1-VLOOKUP($A150,[1]Hugst!$R$5:$W$9,MATCH(ROUNDUP((L$1)/10,0)*10,[1]Hugst!$R$4:$W$4,0))))</f>
        <v>0</v>
      </c>
      <c r="M150" s="168">
        <f ca="1">IF($C150-M$1&lt;År1,0,L149*(1-VLOOKUP($A150,[1]Hugst!$R$5:$W$9,MATCH(ROUNDUP((M$1)/10,0)*10,[1]Hugst!$R$4:$W$4,0))))</f>
        <v>0</v>
      </c>
      <c r="N150" s="168">
        <f ca="1">IF($C150-N$1&lt;År1,0,M149*(1-VLOOKUP($A150,[1]Hugst!$R$5:$W$9,MATCH(ROUNDUP((N$1)/10,0)*10,[1]Hugst!$R$4:$W$4,0))))</f>
        <v>0</v>
      </c>
      <c r="O150" s="168">
        <f ca="1">IF($C150-O$1&lt;År1,0,N149*(1-VLOOKUP($A150,[1]Hugst!$R$5:$W$9,MATCH(ROUNDUP((O$1)/10,0)*10,[1]Hugst!$R$4:$W$4,0))))</f>
        <v>0</v>
      </c>
      <c r="P150" s="168">
        <f ca="1">IF($C150-P$1&lt;År1,0,O149*(1-VLOOKUP($A150,[1]Hugst!$R$5:$W$9,MATCH(ROUNDUP((P$1)/10,0)*10,[1]Hugst!$R$4:$W$4,0))))</f>
        <v>0</v>
      </c>
      <c r="Q150" s="168">
        <f ca="1">IF($C150-Q$1&lt;År1,0,P149*(1-VLOOKUP($A150,[1]Hugst!$R$5:$W$9,MATCH(ROUNDUP((Q$1)/10,0)*10,[1]Hugst!$R$4:$W$4,0))))</f>
        <v>0</v>
      </c>
      <c r="R150" s="168">
        <f ca="1">IF($C150-R$1&lt;År1,0,Q149*(1-VLOOKUP($A150,[1]Hugst!$R$5:$W$9,MATCH(ROUNDUP((R$1)/10,0)*10,[1]Hugst!$R$4:$W$4,0))))</f>
        <v>0</v>
      </c>
      <c r="S150" s="168">
        <f ca="1">IF($C150-S$1&lt;År1,0,R149*(1-VLOOKUP($A150,[1]Hugst!$R$5:$W$9,MATCH(ROUNDUP((S$1)/10,0)*10,[1]Hugst!$R$4:$W$4,0))))</f>
        <v>0</v>
      </c>
      <c r="T150" s="168">
        <f ca="1">IF($C150-T$1&lt;År1,0,S149*(1-VLOOKUP($A150,[1]Hugst!$R$5:$W$9,MATCH(ROUNDUP((T$1)/10,0)*10,[1]Hugst!$R$4:$W$4,0))))</f>
        <v>0</v>
      </c>
      <c r="U150" s="168">
        <f ca="1">IF($C150-U$1&lt;År1,0,T149*(1-VLOOKUP($A150,[1]Hugst!$R$5:$W$9,MATCH(ROUNDUP((U$1)/10,0)*10,[1]Hugst!$R$4:$W$4,0))))</f>
        <v>0</v>
      </c>
      <c r="V150" s="168">
        <f ca="1">IF($C150-V$1&lt;År1,0,U149*(1-VLOOKUP($A150,[1]Hugst!$R$5:$W$9,MATCH(ROUNDUP((V$1)/10,0)*10,[1]Hugst!$R$4:$W$4,0))))</f>
        <v>0</v>
      </c>
      <c r="W150" s="168">
        <f ca="1">IF($C150-W$1&lt;År1,0,V149*(1-VLOOKUP($A150,[1]Hugst!$R$5:$W$9,MATCH(ROUNDUP((W$1)/10,0)*10,[1]Hugst!$R$4:$W$4,0))))</f>
        <v>0</v>
      </c>
      <c r="X150" s="168">
        <f ca="1">IF($C150-X$1&lt;År1,0,W149*(1-VLOOKUP($A150,[1]Hugst!$R$5:$W$9,MATCH(ROUNDUP((X$1)/10,0)*10,[1]Hugst!$R$4:$W$4,0))))</f>
        <v>0</v>
      </c>
      <c r="Y150" s="168">
        <f ca="1">IF($C150-Y$1&lt;År1,0,X149*(1-VLOOKUP($A150,[1]Hugst!$R$5:$W$9,MATCH(ROUNDUP((Y$1)/10,0)*10,[1]Hugst!$R$4:$W$4,0))))</f>
        <v>0</v>
      </c>
      <c r="Z150" s="168">
        <f ca="1">IF($C150-Z$1&lt;År1,0,Y149*(1-VLOOKUP($A150,[1]Hugst!$R$5:$W$9,MATCH(ROUNDUP((Z$1)/10,0)*10,[1]Hugst!$R$4:$W$4,0))))</f>
        <v>0</v>
      </c>
      <c r="AA150" s="168">
        <f ca="1">IF($C150-AA$1&lt;År1,0,Z149*(1-VLOOKUP($A150,[1]Hugst!$R$5:$W$9,MATCH(ROUNDUP((AA$1)/10,0)*10,[1]Hugst!$R$4:$W$4,0))))</f>
        <v>0</v>
      </c>
      <c r="AB150" s="168">
        <f ca="1">IF($C150-AB$1&lt;År1,0,AA149*(1-VLOOKUP($A150,[1]Hugst!$R$5:$W$9,MATCH(ROUNDUP((AB$1)/10,0)*10,[1]Hugst!$R$4:$W$4,0))))</f>
        <v>0</v>
      </c>
      <c r="AC150" s="168">
        <f ca="1">IF($C150-AC$1&lt;År1,0,AB149*(1-VLOOKUP($A150,[1]Hugst!$R$5:$W$9,MATCH(ROUNDUP((AC$1)/10,0)*10,[1]Hugst!$R$4:$W$4,0))))</f>
        <v>0</v>
      </c>
      <c r="AD150" s="168">
        <f ca="1">IF($C150-AD$1&lt;År1,0,AC149*(1-VLOOKUP($A150,[1]Hugst!$R$5:$W$9,MATCH(ROUNDUP((AD$1)/10,0)*10,[1]Hugst!$R$4:$W$4,0))))</f>
        <v>0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*VLOOKUP(A151,Skovbrug!$A$13:$D$17,IF('Skovbrug-alder'!C151&lt;=År2,3,4),FALSE)-IF(C151&gt;2020,SUM(INDEX($C$1:$D$311,MATCH(1,(2020=$C$1:$C$311)*(B151=$B$1:$B$311)*(A151=$A$1:$A$311),0),2):D150),0))</f>
        <v>0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8">
        <f ca="1">IF($C151-G$1&lt;År1,0,F150*(1-VLOOKUP($A151,[1]Hugst!$R$5:$W$9,MATCH(ROUNDUP((G$1)/10,0)*10,[1]Hugst!$R$4:$W$4,0))))</f>
        <v>0</v>
      </c>
      <c r="H151" s="168">
        <f ca="1">IF($C151-H$1&lt;År1,0,G150*(1-VLOOKUP($A151,[1]Hugst!$R$5:$W$9,MATCH(ROUNDUP((H$1)/10,0)*10,[1]Hugst!$R$4:$W$4,0))))</f>
        <v>0</v>
      </c>
      <c r="I151" s="168">
        <f ca="1">IF($C151-I$1&lt;År1,0,H150*(1-VLOOKUP($A151,[1]Hugst!$R$5:$W$9,MATCH(ROUNDUP((I$1)/10,0)*10,[1]Hugst!$R$4:$W$4,0))))</f>
        <v>0</v>
      </c>
      <c r="J151" s="168">
        <f ca="1">IF($C151-J$1&lt;År1,0,I150*(1-VLOOKUP($A151,[1]Hugst!$R$5:$W$9,MATCH(ROUNDUP((J$1)/10,0)*10,[1]Hugst!$R$4:$W$4,0))))</f>
        <v>0</v>
      </c>
      <c r="K151" s="168">
        <f ca="1">IF($C151-K$1&lt;År1,0,J150*(1-VLOOKUP($A151,[1]Hugst!$R$5:$W$9,MATCH(ROUNDUP((K$1)/10,0)*10,[1]Hugst!$R$4:$W$4,0))))</f>
        <v>0</v>
      </c>
      <c r="L151" s="168">
        <f ca="1">IF($C151-L$1&lt;År1,0,K150*(1-VLOOKUP($A151,[1]Hugst!$R$5:$W$9,MATCH(ROUNDUP((L$1)/10,0)*10,[1]Hugst!$R$4:$W$4,0))))</f>
        <v>0</v>
      </c>
      <c r="M151" s="168">
        <f ca="1">IF($C151-M$1&lt;År1,0,L150*(1-VLOOKUP($A151,[1]Hugst!$R$5:$W$9,MATCH(ROUNDUP((M$1)/10,0)*10,[1]Hugst!$R$4:$W$4,0))))</f>
        <v>0</v>
      </c>
      <c r="N151" s="168">
        <f ca="1">IF($C151-N$1&lt;År1,0,M150*(1-VLOOKUP($A151,[1]Hugst!$R$5:$W$9,MATCH(ROUNDUP((N$1)/10,0)*10,[1]Hugst!$R$4:$W$4,0))))</f>
        <v>0</v>
      </c>
      <c r="O151" s="168">
        <f ca="1">IF($C151-O$1&lt;År1,0,N150*(1-VLOOKUP($A151,[1]Hugst!$R$5:$W$9,MATCH(ROUNDUP((O$1)/10,0)*10,[1]Hugst!$R$4:$W$4,0))))</f>
        <v>0</v>
      </c>
      <c r="P151" s="168">
        <f ca="1">IF($C151-P$1&lt;År1,0,O150*(1-VLOOKUP($A151,[1]Hugst!$R$5:$W$9,MATCH(ROUNDUP((P$1)/10,0)*10,[1]Hugst!$R$4:$W$4,0))))</f>
        <v>0</v>
      </c>
      <c r="Q151" s="168">
        <f ca="1">IF($C151-Q$1&lt;År1,0,P150*(1-VLOOKUP($A151,[1]Hugst!$R$5:$W$9,MATCH(ROUNDUP((Q$1)/10,0)*10,[1]Hugst!$R$4:$W$4,0))))</f>
        <v>0</v>
      </c>
      <c r="R151" s="168">
        <f ca="1">IF($C151-R$1&lt;År1,0,Q150*(1-VLOOKUP($A151,[1]Hugst!$R$5:$W$9,MATCH(ROUNDUP((R$1)/10,0)*10,[1]Hugst!$R$4:$W$4,0))))</f>
        <v>0</v>
      </c>
      <c r="S151" s="168">
        <f ca="1">IF($C151-S$1&lt;År1,0,R150*(1-VLOOKUP($A151,[1]Hugst!$R$5:$W$9,MATCH(ROUNDUP((S$1)/10,0)*10,[1]Hugst!$R$4:$W$4,0))))</f>
        <v>0</v>
      </c>
      <c r="T151" s="168">
        <f ca="1">IF($C151-T$1&lt;År1,0,S150*(1-VLOOKUP($A151,[1]Hugst!$R$5:$W$9,MATCH(ROUNDUP((T$1)/10,0)*10,[1]Hugst!$R$4:$W$4,0))))</f>
        <v>0</v>
      </c>
      <c r="U151" s="168">
        <f ca="1">IF($C151-U$1&lt;År1,0,T150*(1-VLOOKUP($A151,[1]Hugst!$R$5:$W$9,MATCH(ROUNDUP((U$1)/10,0)*10,[1]Hugst!$R$4:$W$4,0))))</f>
        <v>0</v>
      </c>
      <c r="V151" s="168">
        <f ca="1">IF($C151-V$1&lt;År1,0,U150*(1-VLOOKUP($A151,[1]Hugst!$R$5:$W$9,MATCH(ROUNDUP((V$1)/10,0)*10,[1]Hugst!$R$4:$W$4,0))))</f>
        <v>0</v>
      </c>
      <c r="W151" s="168">
        <f ca="1">IF($C151-W$1&lt;År1,0,V150*(1-VLOOKUP($A151,[1]Hugst!$R$5:$W$9,MATCH(ROUNDUP((W$1)/10,0)*10,[1]Hugst!$R$4:$W$4,0))))</f>
        <v>0</v>
      </c>
      <c r="X151" s="168">
        <f ca="1">IF($C151-X$1&lt;År1,0,W150*(1-VLOOKUP($A151,[1]Hugst!$R$5:$W$9,MATCH(ROUNDUP((X$1)/10,0)*10,[1]Hugst!$R$4:$W$4,0))))</f>
        <v>0</v>
      </c>
      <c r="Y151" s="168">
        <f ca="1">IF($C151-Y$1&lt;År1,0,X150*(1-VLOOKUP($A151,[1]Hugst!$R$5:$W$9,MATCH(ROUNDUP((Y$1)/10,0)*10,[1]Hugst!$R$4:$W$4,0))))</f>
        <v>0</v>
      </c>
      <c r="Z151" s="168">
        <f ca="1">IF($C151-Z$1&lt;År1,0,Y150*(1-VLOOKUP($A151,[1]Hugst!$R$5:$W$9,MATCH(ROUNDUP((Z$1)/10,0)*10,[1]Hugst!$R$4:$W$4,0))))</f>
        <v>0</v>
      </c>
      <c r="AA151" s="168">
        <f ca="1">IF($C151-AA$1&lt;År1,0,Z150*(1-VLOOKUP($A151,[1]Hugst!$R$5:$W$9,MATCH(ROUNDUP((AA$1)/10,0)*10,[1]Hugst!$R$4:$W$4,0))))</f>
        <v>0</v>
      </c>
      <c r="AB151" s="168">
        <f ca="1">IF($C151-AB$1&lt;År1,0,AA150*(1-VLOOKUP($A151,[1]Hugst!$R$5:$W$9,MATCH(ROUNDUP((AB$1)/10,0)*10,[1]Hugst!$R$4:$W$4,0))))</f>
        <v>0</v>
      </c>
      <c r="AC151" s="168">
        <f ca="1">IF($C151-AC$1&lt;År1,0,AB150*(1-VLOOKUP($A151,[1]Hugst!$R$5:$W$9,MATCH(ROUNDUP((AC$1)/10,0)*10,[1]Hugst!$R$4:$W$4,0))))</f>
        <v>0</v>
      </c>
      <c r="AD151" s="168">
        <f ca="1">IF($C151-AD$1&lt;År1,0,AC150*(1-VLOOKUP($A151,[1]Hugst!$R$5:$W$9,MATCH(ROUNDUP((AD$1)/10,0)*10,[1]Hugst!$R$4:$W$4,0))))</f>
        <v>0</v>
      </c>
      <c r="AE151" s="168">
        <f ca="1">IF($C151-AE$1&lt;År1,0,AD150*(1-VLOOKUP($A151,[1]Hugst!$R$5:$W$9,MATCH(ROUNDUP((AE$1)/10,0)*10,[1]Hugst!$R$4:$W$4,0))))</f>
        <v>0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*VLOOKUP(A152,Skovbrug!$A$13:$D$17,IF('Skovbrug-alder'!C152&lt;=År2,3,4),FALSE)-IF(C152&gt;2020,SUM(INDEX($C$1:$D$311,MATCH(1,(2020=$C$1:$C$311)*(B152=$B$1:$B$311)*(A152=$A$1:$A$311),0),2):D151),0))</f>
        <v>0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8">
        <f ca="1">IF($C152-G$1&lt;År1,0,F151*(1-VLOOKUP($A152,[1]Hugst!$R$5:$W$9,MATCH(ROUNDUP((G$1)/10,0)*10,[1]Hugst!$R$4:$W$4,0))))</f>
        <v>0</v>
      </c>
      <c r="H152" s="168">
        <f ca="1">IF($C152-H$1&lt;År1,0,G151*(1-VLOOKUP($A152,[1]Hugst!$R$5:$W$9,MATCH(ROUNDUP((H$1)/10,0)*10,[1]Hugst!$R$4:$W$4,0))))</f>
        <v>0</v>
      </c>
      <c r="I152" s="168">
        <f ca="1">IF($C152-I$1&lt;År1,0,H151*(1-VLOOKUP($A152,[1]Hugst!$R$5:$W$9,MATCH(ROUNDUP((I$1)/10,0)*10,[1]Hugst!$R$4:$W$4,0))))</f>
        <v>0</v>
      </c>
      <c r="J152" s="168">
        <f ca="1">IF($C152-J$1&lt;År1,0,I151*(1-VLOOKUP($A152,[1]Hugst!$R$5:$W$9,MATCH(ROUNDUP((J$1)/10,0)*10,[1]Hugst!$R$4:$W$4,0))))</f>
        <v>0</v>
      </c>
      <c r="K152" s="168">
        <f ca="1">IF($C152-K$1&lt;År1,0,J151*(1-VLOOKUP($A152,[1]Hugst!$R$5:$W$9,MATCH(ROUNDUP((K$1)/10,0)*10,[1]Hugst!$R$4:$W$4,0))))</f>
        <v>0</v>
      </c>
      <c r="L152" s="168">
        <f ca="1">IF($C152-L$1&lt;År1,0,K151*(1-VLOOKUP($A152,[1]Hugst!$R$5:$W$9,MATCH(ROUNDUP((L$1)/10,0)*10,[1]Hugst!$R$4:$W$4,0))))</f>
        <v>0</v>
      </c>
      <c r="M152" s="168">
        <f ca="1">IF($C152-M$1&lt;År1,0,L151*(1-VLOOKUP($A152,[1]Hugst!$R$5:$W$9,MATCH(ROUNDUP((M$1)/10,0)*10,[1]Hugst!$R$4:$W$4,0))))</f>
        <v>0</v>
      </c>
      <c r="N152" s="168">
        <f ca="1">IF($C152-N$1&lt;År1,0,M151*(1-VLOOKUP($A152,[1]Hugst!$R$5:$W$9,MATCH(ROUNDUP((N$1)/10,0)*10,[1]Hugst!$R$4:$W$4,0))))</f>
        <v>0</v>
      </c>
      <c r="O152" s="168">
        <f ca="1">IF($C152-O$1&lt;År1,0,N151*(1-VLOOKUP($A152,[1]Hugst!$R$5:$W$9,MATCH(ROUNDUP((O$1)/10,0)*10,[1]Hugst!$R$4:$W$4,0))))</f>
        <v>0</v>
      </c>
      <c r="P152" s="168">
        <f ca="1">IF($C152-P$1&lt;År1,0,O151*(1-VLOOKUP($A152,[1]Hugst!$R$5:$W$9,MATCH(ROUNDUP((P$1)/10,0)*10,[1]Hugst!$R$4:$W$4,0))))</f>
        <v>0</v>
      </c>
      <c r="Q152" s="168">
        <f ca="1">IF($C152-Q$1&lt;År1,0,P151*(1-VLOOKUP($A152,[1]Hugst!$R$5:$W$9,MATCH(ROUNDUP((Q$1)/10,0)*10,[1]Hugst!$R$4:$W$4,0))))</f>
        <v>0</v>
      </c>
      <c r="R152" s="168">
        <f ca="1">IF($C152-R$1&lt;År1,0,Q151*(1-VLOOKUP($A152,[1]Hugst!$R$5:$W$9,MATCH(ROUNDUP((R$1)/10,0)*10,[1]Hugst!$R$4:$W$4,0))))</f>
        <v>0</v>
      </c>
      <c r="S152" s="168">
        <f ca="1">IF($C152-S$1&lt;År1,0,R151*(1-VLOOKUP($A152,[1]Hugst!$R$5:$W$9,MATCH(ROUNDUP((S$1)/10,0)*10,[1]Hugst!$R$4:$W$4,0))))</f>
        <v>0</v>
      </c>
      <c r="T152" s="168">
        <f ca="1">IF($C152-T$1&lt;År1,0,S151*(1-VLOOKUP($A152,[1]Hugst!$R$5:$W$9,MATCH(ROUNDUP((T$1)/10,0)*10,[1]Hugst!$R$4:$W$4,0))))</f>
        <v>0</v>
      </c>
      <c r="U152" s="168">
        <f ca="1">IF($C152-U$1&lt;År1,0,T151*(1-VLOOKUP($A152,[1]Hugst!$R$5:$W$9,MATCH(ROUNDUP((U$1)/10,0)*10,[1]Hugst!$R$4:$W$4,0))))</f>
        <v>0</v>
      </c>
      <c r="V152" s="168">
        <f ca="1">IF($C152-V$1&lt;År1,0,U151*(1-VLOOKUP($A152,[1]Hugst!$R$5:$W$9,MATCH(ROUNDUP((V$1)/10,0)*10,[1]Hugst!$R$4:$W$4,0))))</f>
        <v>0</v>
      </c>
      <c r="W152" s="168">
        <f ca="1">IF($C152-W$1&lt;År1,0,V151*(1-VLOOKUP($A152,[1]Hugst!$R$5:$W$9,MATCH(ROUNDUP((W$1)/10,0)*10,[1]Hugst!$R$4:$W$4,0))))</f>
        <v>0</v>
      </c>
      <c r="X152" s="168">
        <f ca="1">IF($C152-X$1&lt;År1,0,W151*(1-VLOOKUP($A152,[1]Hugst!$R$5:$W$9,MATCH(ROUNDUP((X$1)/10,0)*10,[1]Hugst!$R$4:$W$4,0))))</f>
        <v>0</v>
      </c>
      <c r="Y152" s="168">
        <f ca="1">IF($C152-Y$1&lt;År1,0,X151*(1-VLOOKUP($A152,[1]Hugst!$R$5:$W$9,MATCH(ROUNDUP((Y$1)/10,0)*10,[1]Hugst!$R$4:$W$4,0))))</f>
        <v>0</v>
      </c>
      <c r="Z152" s="168">
        <f ca="1">IF($C152-Z$1&lt;År1,0,Y151*(1-VLOOKUP($A152,[1]Hugst!$R$5:$W$9,MATCH(ROUNDUP((Z$1)/10,0)*10,[1]Hugst!$R$4:$W$4,0))))</f>
        <v>0</v>
      </c>
      <c r="AA152" s="168">
        <f ca="1">IF($C152-AA$1&lt;År1,0,Z151*(1-VLOOKUP($A152,[1]Hugst!$R$5:$W$9,MATCH(ROUNDUP((AA$1)/10,0)*10,[1]Hugst!$R$4:$W$4,0))))</f>
        <v>0</v>
      </c>
      <c r="AB152" s="168">
        <f ca="1">IF($C152-AB$1&lt;År1,0,AA151*(1-VLOOKUP($A152,[1]Hugst!$R$5:$W$9,MATCH(ROUNDUP((AB$1)/10,0)*10,[1]Hugst!$R$4:$W$4,0))))</f>
        <v>0</v>
      </c>
      <c r="AC152" s="168">
        <f ca="1">IF($C152-AC$1&lt;År1,0,AB151*(1-VLOOKUP($A152,[1]Hugst!$R$5:$W$9,MATCH(ROUNDUP((AC$1)/10,0)*10,[1]Hugst!$R$4:$W$4,0))))</f>
        <v>0</v>
      </c>
      <c r="AD152" s="168">
        <f ca="1">IF($C152-AD$1&lt;År1,0,AC151*(1-VLOOKUP($A152,[1]Hugst!$R$5:$W$9,MATCH(ROUNDUP((AD$1)/10,0)*10,[1]Hugst!$R$4:$W$4,0))))</f>
        <v>0</v>
      </c>
      <c r="AE152" s="168">
        <f ca="1">IF($C152-AE$1&lt;År1,0,AD151*(1-VLOOKUP($A152,[1]Hugst!$R$5:$W$9,MATCH(ROUNDUP((AE$1)/10,0)*10,[1]Hugst!$R$4:$W$4,0))))</f>
        <v>0</v>
      </c>
      <c r="AF152" s="168">
        <f ca="1">IF($C152-AF$1&lt;År1,0,AE151*(1-VLOOKUP($A152,[1]Hugst!$R$5:$W$9,MATCH(ROUNDUP((AF$1)/10,0)*10,[1]Hugst!$R$4:$W$4,0))))</f>
        <v>0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*VLOOKUP(A153,Skovbrug!$A$13:$D$17,IF('Skovbrug-alder'!C153&lt;=År2,3,4),FALSE)-IF(C153&gt;2020,SUM(INDEX($C$1:$D$311,MATCH(1,(2020=$C$1:$C$311)*(B153=$B$1:$B$311)*(A153=$A$1:$A$311),0),2):D152),0))</f>
        <v>0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8">
        <f ca="1">IF($C153-G$1&lt;År1,0,F152*(1-VLOOKUP($A153,[1]Hugst!$R$5:$W$9,MATCH(ROUNDUP((G$1)/10,0)*10,[1]Hugst!$R$4:$W$4,0))))</f>
        <v>0</v>
      </c>
      <c r="H153" s="168">
        <f ca="1">IF($C153-H$1&lt;År1,0,G152*(1-VLOOKUP($A153,[1]Hugst!$R$5:$W$9,MATCH(ROUNDUP((H$1)/10,0)*10,[1]Hugst!$R$4:$W$4,0))))</f>
        <v>0</v>
      </c>
      <c r="I153" s="168">
        <f ca="1">IF($C153-I$1&lt;År1,0,H152*(1-VLOOKUP($A153,[1]Hugst!$R$5:$W$9,MATCH(ROUNDUP((I$1)/10,0)*10,[1]Hugst!$R$4:$W$4,0))))</f>
        <v>0</v>
      </c>
      <c r="J153" s="168">
        <f ca="1">IF($C153-J$1&lt;År1,0,I152*(1-VLOOKUP($A153,[1]Hugst!$R$5:$W$9,MATCH(ROUNDUP((J$1)/10,0)*10,[1]Hugst!$R$4:$W$4,0))))</f>
        <v>0</v>
      </c>
      <c r="K153" s="168">
        <f ca="1">IF($C153-K$1&lt;År1,0,J152*(1-VLOOKUP($A153,[1]Hugst!$R$5:$W$9,MATCH(ROUNDUP((K$1)/10,0)*10,[1]Hugst!$R$4:$W$4,0))))</f>
        <v>0</v>
      </c>
      <c r="L153" s="168">
        <f ca="1">IF($C153-L$1&lt;År1,0,K152*(1-VLOOKUP($A153,[1]Hugst!$R$5:$W$9,MATCH(ROUNDUP((L$1)/10,0)*10,[1]Hugst!$R$4:$W$4,0))))</f>
        <v>0</v>
      </c>
      <c r="M153" s="168">
        <f ca="1">IF($C153-M$1&lt;År1,0,L152*(1-VLOOKUP($A153,[1]Hugst!$R$5:$W$9,MATCH(ROUNDUP((M$1)/10,0)*10,[1]Hugst!$R$4:$W$4,0))))</f>
        <v>0</v>
      </c>
      <c r="N153" s="168">
        <f ca="1">IF($C153-N$1&lt;År1,0,M152*(1-VLOOKUP($A153,[1]Hugst!$R$5:$W$9,MATCH(ROUNDUP((N$1)/10,0)*10,[1]Hugst!$R$4:$W$4,0))))</f>
        <v>0</v>
      </c>
      <c r="O153" s="168">
        <f ca="1">IF($C153-O$1&lt;År1,0,N152*(1-VLOOKUP($A153,[1]Hugst!$R$5:$W$9,MATCH(ROUNDUP((O$1)/10,0)*10,[1]Hugst!$R$4:$W$4,0))))</f>
        <v>0</v>
      </c>
      <c r="P153" s="168">
        <f ca="1">IF($C153-P$1&lt;År1,0,O152*(1-VLOOKUP($A153,[1]Hugst!$R$5:$W$9,MATCH(ROUNDUP((P$1)/10,0)*10,[1]Hugst!$R$4:$W$4,0))))</f>
        <v>0</v>
      </c>
      <c r="Q153" s="168">
        <f ca="1">IF($C153-Q$1&lt;År1,0,P152*(1-VLOOKUP($A153,[1]Hugst!$R$5:$W$9,MATCH(ROUNDUP((Q$1)/10,0)*10,[1]Hugst!$R$4:$W$4,0))))</f>
        <v>0</v>
      </c>
      <c r="R153" s="168">
        <f ca="1">IF($C153-R$1&lt;År1,0,Q152*(1-VLOOKUP($A153,[1]Hugst!$R$5:$W$9,MATCH(ROUNDUP((R$1)/10,0)*10,[1]Hugst!$R$4:$W$4,0))))</f>
        <v>0</v>
      </c>
      <c r="S153" s="168">
        <f ca="1">IF($C153-S$1&lt;År1,0,R152*(1-VLOOKUP($A153,[1]Hugst!$R$5:$W$9,MATCH(ROUNDUP((S$1)/10,0)*10,[1]Hugst!$R$4:$W$4,0))))</f>
        <v>0</v>
      </c>
      <c r="T153" s="168">
        <f ca="1">IF($C153-T$1&lt;År1,0,S152*(1-VLOOKUP($A153,[1]Hugst!$R$5:$W$9,MATCH(ROUNDUP((T$1)/10,0)*10,[1]Hugst!$R$4:$W$4,0))))</f>
        <v>0</v>
      </c>
      <c r="U153" s="168">
        <f ca="1">IF($C153-U$1&lt;År1,0,T152*(1-VLOOKUP($A153,[1]Hugst!$R$5:$W$9,MATCH(ROUNDUP((U$1)/10,0)*10,[1]Hugst!$R$4:$W$4,0))))</f>
        <v>0</v>
      </c>
      <c r="V153" s="168">
        <f ca="1">IF($C153-V$1&lt;År1,0,U152*(1-VLOOKUP($A153,[1]Hugst!$R$5:$W$9,MATCH(ROUNDUP((V$1)/10,0)*10,[1]Hugst!$R$4:$W$4,0))))</f>
        <v>0</v>
      </c>
      <c r="W153" s="168">
        <f ca="1">IF($C153-W$1&lt;År1,0,V152*(1-VLOOKUP($A153,[1]Hugst!$R$5:$W$9,MATCH(ROUNDUP((W$1)/10,0)*10,[1]Hugst!$R$4:$W$4,0))))</f>
        <v>0</v>
      </c>
      <c r="X153" s="168">
        <f ca="1">IF($C153-X$1&lt;År1,0,W152*(1-VLOOKUP($A153,[1]Hugst!$R$5:$W$9,MATCH(ROUNDUP((X$1)/10,0)*10,[1]Hugst!$R$4:$W$4,0))))</f>
        <v>0</v>
      </c>
      <c r="Y153" s="168">
        <f ca="1">IF($C153-Y$1&lt;År1,0,X152*(1-VLOOKUP($A153,[1]Hugst!$R$5:$W$9,MATCH(ROUNDUP((Y$1)/10,0)*10,[1]Hugst!$R$4:$W$4,0))))</f>
        <v>0</v>
      </c>
      <c r="Z153" s="168">
        <f ca="1">IF($C153-Z$1&lt;År1,0,Y152*(1-VLOOKUP($A153,[1]Hugst!$R$5:$W$9,MATCH(ROUNDUP((Z$1)/10,0)*10,[1]Hugst!$R$4:$W$4,0))))</f>
        <v>0</v>
      </c>
      <c r="AA153" s="168">
        <f ca="1">IF($C153-AA$1&lt;År1,0,Z152*(1-VLOOKUP($A153,[1]Hugst!$R$5:$W$9,MATCH(ROUNDUP((AA$1)/10,0)*10,[1]Hugst!$R$4:$W$4,0))))</f>
        <v>0</v>
      </c>
      <c r="AB153" s="168">
        <f ca="1">IF($C153-AB$1&lt;År1,0,AA152*(1-VLOOKUP($A153,[1]Hugst!$R$5:$W$9,MATCH(ROUNDUP((AB$1)/10,0)*10,[1]Hugst!$R$4:$W$4,0))))</f>
        <v>0</v>
      </c>
      <c r="AC153" s="168">
        <f ca="1">IF($C153-AC$1&lt;År1,0,AB152*(1-VLOOKUP($A153,[1]Hugst!$R$5:$W$9,MATCH(ROUNDUP((AC$1)/10,0)*10,[1]Hugst!$R$4:$W$4,0))))</f>
        <v>0</v>
      </c>
      <c r="AD153" s="168">
        <f ca="1">IF($C153-AD$1&lt;År1,0,AC152*(1-VLOOKUP($A153,[1]Hugst!$R$5:$W$9,MATCH(ROUNDUP((AD$1)/10,0)*10,[1]Hugst!$R$4:$W$4,0))))</f>
        <v>0</v>
      </c>
      <c r="AE153" s="168">
        <f ca="1">IF($C153-AE$1&lt;År1,0,AD152*(1-VLOOKUP($A153,[1]Hugst!$R$5:$W$9,MATCH(ROUNDUP((AE$1)/10,0)*10,[1]Hugst!$R$4:$W$4,0))))</f>
        <v>0</v>
      </c>
      <c r="AF153" s="168">
        <f ca="1">IF($C153-AF$1&lt;År1,0,AE152*(1-VLOOKUP($A153,[1]Hugst!$R$5:$W$9,MATCH(ROUNDUP((AF$1)/10,0)*10,[1]Hugst!$R$4:$W$4,0))))</f>
        <v>0</v>
      </c>
      <c r="AG153" s="168">
        <f ca="1">IF($C153-AG$1&lt;År1,0,AF152*(1-VLOOKUP($A153,[1]Hugst!$R$5:$W$9,MATCH(ROUNDUP((AG$1)/10,0)*10,[1]Hugst!$R$4:$W$4,0))))</f>
        <v>0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*VLOOKUP(A154,Skovbrug!$A$13:$D$17,IF('Skovbrug-alder'!C154&lt;=År2,3,4),FALSE)-IF(C154&gt;2020,SUM(INDEX($C$1:$D$311,MATCH(1,(2020=$C$1:$C$311)*(B154=$B$1:$B$311)*(A154=$A$1:$A$311),0),2):D153),0))</f>
        <v>0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8">
        <f ca="1">IF($C154-G$1&lt;År1,0,F153*(1-VLOOKUP($A154,[1]Hugst!$R$5:$W$9,MATCH(ROUNDUP((G$1)/10,0)*10,[1]Hugst!$R$4:$W$4,0))))</f>
        <v>0</v>
      </c>
      <c r="H154" s="168">
        <f ca="1">IF($C154-H$1&lt;År1,0,G153*(1-VLOOKUP($A154,[1]Hugst!$R$5:$W$9,MATCH(ROUNDUP((H$1)/10,0)*10,[1]Hugst!$R$4:$W$4,0))))</f>
        <v>0</v>
      </c>
      <c r="I154" s="168">
        <f ca="1">IF($C154-I$1&lt;År1,0,H153*(1-VLOOKUP($A154,[1]Hugst!$R$5:$W$9,MATCH(ROUNDUP((I$1)/10,0)*10,[1]Hugst!$R$4:$W$4,0))))</f>
        <v>0</v>
      </c>
      <c r="J154" s="168">
        <f ca="1">IF($C154-J$1&lt;År1,0,I153*(1-VLOOKUP($A154,[1]Hugst!$R$5:$W$9,MATCH(ROUNDUP((J$1)/10,0)*10,[1]Hugst!$R$4:$W$4,0))))</f>
        <v>0</v>
      </c>
      <c r="K154" s="168">
        <f ca="1">IF($C154-K$1&lt;År1,0,J153*(1-VLOOKUP($A154,[1]Hugst!$R$5:$W$9,MATCH(ROUNDUP((K$1)/10,0)*10,[1]Hugst!$R$4:$W$4,0))))</f>
        <v>0</v>
      </c>
      <c r="L154" s="168">
        <f ca="1">IF($C154-L$1&lt;År1,0,K153*(1-VLOOKUP($A154,[1]Hugst!$R$5:$W$9,MATCH(ROUNDUP((L$1)/10,0)*10,[1]Hugst!$R$4:$W$4,0))))</f>
        <v>0</v>
      </c>
      <c r="M154" s="168">
        <f ca="1">IF($C154-M$1&lt;År1,0,L153*(1-VLOOKUP($A154,[1]Hugst!$R$5:$W$9,MATCH(ROUNDUP((M$1)/10,0)*10,[1]Hugst!$R$4:$W$4,0))))</f>
        <v>0</v>
      </c>
      <c r="N154" s="168">
        <f ca="1">IF($C154-N$1&lt;År1,0,M153*(1-VLOOKUP($A154,[1]Hugst!$R$5:$W$9,MATCH(ROUNDUP((N$1)/10,0)*10,[1]Hugst!$R$4:$W$4,0))))</f>
        <v>0</v>
      </c>
      <c r="O154" s="168">
        <f ca="1">IF($C154-O$1&lt;År1,0,N153*(1-VLOOKUP($A154,[1]Hugst!$R$5:$W$9,MATCH(ROUNDUP((O$1)/10,0)*10,[1]Hugst!$R$4:$W$4,0))))</f>
        <v>0</v>
      </c>
      <c r="P154" s="168">
        <f ca="1">IF($C154-P$1&lt;År1,0,O153*(1-VLOOKUP($A154,[1]Hugst!$R$5:$W$9,MATCH(ROUNDUP((P$1)/10,0)*10,[1]Hugst!$R$4:$W$4,0))))</f>
        <v>0</v>
      </c>
      <c r="Q154" s="168">
        <f ca="1">IF($C154-Q$1&lt;År1,0,P153*(1-VLOOKUP($A154,[1]Hugst!$R$5:$W$9,MATCH(ROUNDUP((Q$1)/10,0)*10,[1]Hugst!$R$4:$W$4,0))))</f>
        <v>0</v>
      </c>
      <c r="R154" s="168">
        <f ca="1">IF($C154-R$1&lt;År1,0,Q153*(1-VLOOKUP($A154,[1]Hugst!$R$5:$W$9,MATCH(ROUNDUP((R$1)/10,0)*10,[1]Hugst!$R$4:$W$4,0))))</f>
        <v>0</v>
      </c>
      <c r="S154" s="168">
        <f ca="1">IF($C154-S$1&lt;År1,0,R153*(1-VLOOKUP($A154,[1]Hugst!$R$5:$W$9,MATCH(ROUNDUP((S$1)/10,0)*10,[1]Hugst!$R$4:$W$4,0))))</f>
        <v>0</v>
      </c>
      <c r="T154" s="168">
        <f ca="1">IF($C154-T$1&lt;År1,0,S153*(1-VLOOKUP($A154,[1]Hugst!$R$5:$W$9,MATCH(ROUNDUP((T$1)/10,0)*10,[1]Hugst!$R$4:$W$4,0))))</f>
        <v>0</v>
      </c>
      <c r="U154" s="168">
        <f ca="1">IF($C154-U$1&lt;År1,0,T153*(1-VLOOKUP($A154,[1]Hugst!$R$5:$W$9,MATCH(ROUNDUP((U$1)/10,0)*10,[1]Hugst!$R$4:$W$4,0))))</f>
        <v>0</v>
      </c>
      <c r="V154" s="168">
        <f ca="1">IF($C154-V$1&lt;År1,0,U153*(1-VLOOKUP($A154,[1]Hugst!$R$5:$W$9,MATCH(ROUNDUP((V$1)/10,0)*10,[1]Hugst!$R$4:$W$4,0))))</f>
        <v>0</v>
      </c>
      <c r="W154" s="168">
        <f ca="1">IF($C154-W$1&lt;År1,0,V153*(1-VLOOKUP($A154,[1]Hugst!$R$5:$W$9,MATCH(ROUNDUP((W$1)/10,0)*10,[1]Hugst!$R$4:$W$4,0))))</f>
        <v>0</v>
      </c>
      <c r="X154" s="168">
        <f ca="1">IF($C154-X$1&lt;År1,0,W153*(1-VLOOKUP($A154,[1]Hugst!$R$5:$W$9,MATCH(ROUNDUP((X$1)/10,0)*10,[1]Hugst!$R$4:$W$4,0))))</f>
        <v>0</v>
      </c>
      <c r="Y154" s="168">
        <f ca="1">IF($C154-Y$1&lt;År1,0,X153*(1-VLOOKUP($A154,[1]Hugst!$R$5:$W$9,MATCH(ROUNDUP((Y$1)/10,0)*10,[1]Hugst!$R$4:$W$4,0))))</f>
        <v>0</v>
      </c>
      <c r="Z154" s="168">
        <f ca="1">IF($C154-Z$1&lt;År1,0,Y153*(1-VLOOKUP($A154,[1]Hugst!$R$5:$W$9,MATCH(ROUNDUP((Z$1)/10,0)*10,[1]Hugst!$R$4:$W$4,0))))</f>
        <v>0</v>
      </c>
      <c r="AA154" s="168">
        <f ca="1">IF($C154-AA$1&lt;År1,0,Z153*(1-VLOOKUP($A154,[1]Hugst!$R$5:$W$9,MATCH(ROUNDUP((AA$1)/10,0)*10,[1]Hugst!$R$4:$W$4,0))))</f>
        <v>0</v>
      </c>
      <c r="AB154" s="168">
        <f ca="1">IF($C154-AB$1&lt;År1,0,AA153*(1-VLOOKUP($A154,[1]Hugst!$R$5:$W$9,MATCH(ROUNDUP((AB$1)/10,0)*10,[1]Hugst!$R$4:$W$4,0))))</f>
        <v>0</v>
      </c>
      <c r="AC154" s="168">
        <f ca="1">IF($C154-AC$1&lt;År1,0,AB153*(1-VLOOKUP($A154,[1]Hugst!$R$5:$W$9,MATCH(ROUNDUP((AC$1)/10,0)*10,[1]Hugst!$R$4:$W$4,0))))</f>
        <v>0</v>
      </c>
      <c r="AD154" s="168">
        <f ca="1">IF($C154-AD$1&lt;År1,0,AC153*(1-VLOOKUP($A154,[1]Hugst!$R$5:$W$9,MATCH(ROUNDUP((AD$1)/10,0)*10,[1]Hugst!$R$4:$W$4,0))))</f>
        <v>0</v>
      </c>
      <c r="AE154" s="168">
        <f ca="1">IF($C154-AE$1&lt;År1,0,AD153*(1-VLOOKUP($A154,[1]Hugst!$R$5:$W$9,MATCH(ROUNDUP((AE$1)/10,0)*10,[1]Hugst!$R$4:$W$4,0))))</f>
        <v>0</v>
      </c>
      <c r="AF154" s="168">
        <f ca="1">IF($C154-AF$1&lt;År1,0,AE153*(1-VLOOKUP($A154,[1]Hugst!$R$5:$W$9,MATCH(ROUNDUP((AF$1)/10,0)*10,[1]Hugst!$R$4:$W$4,0))))</f>
        <v>0</v>
      </c>
      <c r="AG154" s="168">
        <f ca="1">IF($C154-AG$1&lt;År1,0,AF153*(1-VLOOKUP($A154,[1]Hugst!$R$5:$W$9,MATCH(ROUNDUP((AG$1)/10,0)*10,[1]Hugst!$R$4:$W$4,0))))</f>
        <v>0</v>
      </c>
      <c r="AH154" s="168">
        <f ca="1">IF($C154-AH$1&lt;År1,0,AG153*(1-VLOOKUP($A154,[1]Hugst!$R$5:$W$9,MATCH(ROUNDUP((AH$1)/10,0)*10,[1]Hugst!$R$4:$W$4,0))))</f>
        <v>0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*VLOOKUP(A155,Skovbrug!$A$13:$D$17,IF('Skovbrug-alder'!C155&lt;=År2,3,4),FALSE)-IF(C155&gt;2020,SUM(INDEX($C$1:$D$311,MATCH(1,(2020=$C$1:$C$311)*(B155=$B$1:$B$311)*(A155=$A$1:$A$311),0),2):D154),0))</f>
        <v>0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8">
        <f ca="1">IF($C155-G$1&lt;År1,0,F154*(1-VLOOKUP($A155,[1]Hugst!$R$5:$W$9,MATCH(ROUNDUP((G$1)/10,0)*10,[1]Hugst!$R$4:$W$4,0))))</f>
        <v>0</v>
      </c>
      <c r="H155" s="168">
        <f ca="1">IF($C155-H$1&lt;År1,0,G154*(1-VLOOKUP($A155,[1]Hugst!$R$5:$W$9,MATCH(ROUNDUP((H$1)/10,0)*10,[1]Hugst!$R$4:$W$4,0))))</f>
        <v>0</v>
      </c>
      <c r="I155" s="168">
        <f ca="1">IF($C155-I$1&lt;År1,0,H154*(1-VLOOKUP($A155,[1]Hugst!$R$5:$W$9,MATCH(ROUNDUP((I$1)/10,0)*10,[1]Hugst!$R$4:$W$4,0))))</f>
        <v>0</v>
      </c>
      <c r="J155" s="168">
        <f ca="1">IF($C155-J$1&lt;År1,0,I154*(1-VLOOKUP($A155,[1]Hugst!$R$5:$W$9,MATCH(ROUNDUP((J$1)/10,0)*10,[1]Hugst!$R$4:$W$4,0))))</f>
        <v>0</v>
      </c>
      <c r="K155" s="168">
        <f ca="1">IF($C155-K$1&lt;År1,0,J154*(1-VLOOKUP($A155,[1]Hugst!$R$5:$W$9,MATCH(ROUNDUP((K$1)/10,0)*10,[1]Hugst!$R$4:$W$4,0))))</f>
        <v>0</v>
      </c>
      <c r="L155" s="168">
        <f ca="1">IF($C155-L$1&lt;År1,0,K154*(1-VLOOKUP($A155,[1]Hugst!$R$5:$W$9,MATCH(ROUNDUP((L$1)/10,0)*10,[1]Hugst!$R$4:$W$4,0))))</f>
        <v>0</v>
      </c>
      <c r="M155" s="168">
        <f ca="1">IF($C155-M$1&lt;År1,0,L154*(1-VLOOKUP($A155,[1]Hugst!$R$5:$W$9,MATCH(ROUNDUP((M$1)/10,0)*10,[1]Hugst!$R$4:$W$4,0))))</f>
        <v>0</v>
      </c>
      <c r="N155" s="168">
        <f ca="1">IF($C155-N$1&lt;År1,0,M154*(1-VLOOKUP($A155,[1]Hugst!$R$5:$W$9,MATCH(ROUNDUP((N$1)/10,0)*10,[1]Hugst!$R$4:$W$4,0))))</f>
        <v>0</v>
      </c>
      <c r="O155" s="168">
        <f ca="1">IF($C155-O$1&lt;År1,0,N154*(1-VLOOKUP($A155,[1]Hugst!$R$5:$W$9,MATCH(ROUNDUP((O$1)/10,0)*10,[1]Hugst!$R$4:$W$4,0))))</f>
        <v>0</v>
      </c>
      <c r="P155" s="168">
        <f ca="1">IF($C155-P$1&lt;År1,0,O154*(1-VLOOKUP($A155,[1]Hugst!$R$5:$W$9,MATCH(ROUNDUP((P$1)/10,0)*10,[1]Hugst!$R$4:$W$4,0))))</f>
        <v>0</v>
      </c>
      <c r="Q155" s="168">
        <f ca="1">IF($C155-Q$1&lt;År1,0,P154*(1-VLOOKUP($A155,[1]Hugst!$R$5:$W$9,MATCH(ROUNDUP((Q$1)/10,0)*10,[1]Hugst!$R$4:$W$4,0))))</f>
        <v>0</v>
      </c>
      <c r="R155" s="168">
        <f ca="1">IF($C155-R$1&lt;År1,0,Q154*(1-VLOOKUP($A155,[1]Hugst!$R$5:$W$9,MATCH(ROUNDUP((R$1)/10,0)*10,[1]Hugst!$R$4:$W$4,0))))</f>
        <v>0</v>
      </c>
      <c r="S155" s="168">
        <f ca="1">IF($C155-S$1&lt;År1,0,R154*(1-VLOOKUP($A155,[1]Hugst!$R$5:$W$9,MATCH(ROUNDUP((S$1)/10,0)*10,[1]Hugst!$R$4:$W$4,0))))</f>
        <v>0</v>
      </c>
      <c r="T155" s="168">
        <f ca="1">IF($C155-T$1&lt;År1,0,S154*(1-VLOOKUP($A155,[1]Hugst!$R$5:$W$9,MATCH(ROUNDUP((T$1)/10,0)*10,[1]Hugst!$R$4:$W$4,0))))</f>
        <v>0</v>
      </c>
      <c r="U155" s="168">
        <f ca="1">IF($C155-U$1&lt;År1,0,T154*(1-VLOOKUP($A155,[1]Hugst!$R$5:$W$9,MATCH(ROUNDUP((U$1)/10,0)*10,[1]Hugst!$R$4:$W$4,0))))</f>
        <v>0</v>
      </c>
      <c r="V155" s="168">
        <f ca="1">IF($C155-V$1&lt;År1,0,U154*(1-VLOOKUP($A155,[1]Hugst!$R$5:$W$9,MATCH(ROUNDUP((V$1)/10,0)*10,[1]Hugst!$R$4:$W$4,0))))</f>
        <v>0</v>
      </c>
      <c r="W155" s="168">
        <f ca="1">IF($C155-W$1&lt;År1,0,V154*(1-VLOOKUP($A155,[1]Hugst!$R$5:$W$9,MATCH(ROUNDUP((W$1)/10,0)*10,[1]Hugst!$R$4:$W$4,0))))</f>
        <v>0</v>
      </c>
      <c r="X155" s="168">
        <f ca="1">IF($C155-X$1&lt;År1,0,W154*(1-VLOOKUP($A155,[1]Hugst!$R$5:$W$9,MATCH(ROUNDUP((X$1)/10,0)*10,[1]Hugst!$R$4:$W$4,0))))</f>
        <v>0</v>
      </c>
      <c r="Y155" s="168">
        <f ca="1">IF($C155-Y$1&lt;År1,0,X154*(1-VLOOKUP($A155,[1]Hugst!$R$5:$W$9,MATCH(ROUNDUP((Y$1)/10,0)*10,[1]Hugst!$R$4:$W$4,0))))</f>
        <v>0</v>
      </c>
      <c r="Z155" s="168">
        <f ca="1">IF($C155-Z$1&lt;År1,0,Y154*(1-VLOOKUP($A155,[1]Hugst!$R$5:$W$9,MATCH(ROUNDUP((Z$1)/10,0)*10,[1]Hugst!$R$4:$W$4,0))))</f>
        <v>0</v>
      </c>
      <c r="AA155" s="168">
        <f ca="1">IF($C155-AA$1&lt;År1,0,Z154*(1-VLOOKUP($A155,[1]Hugst!$R$5:$W$9,MATCH(ROUNDUP((AA$1)/10,0)*10,[1]Hugst!$R$4:$W$4,0))))</f>
        <v>0</v>
      </c>
      <c r="AB155" s="168">
        <f ca="1">IF($C155-AB$1&lt;År1,0,AA154*(1-VLOOKUP($A155,[1]Hugst!$R$5:$W$9,MATCH(ROUNDUP((AB$1)/10,0)*10,[1]Hugst!$R$4:$W$4,0))))</f>
        <v>0</v>
      </c>
      <c r="AC155" s="168">
        <f ca="1">IF($C155-AC$1&lt;År1,0,AB154*(1-VLOOKUP($A155,[1]Hugst!$R$5:$W$9,MATCH(ROUNDUP((AC$1)/10,0)*10,[1]Hugst!$R$4:$W$4,0))))</f>
        <v>0</v>
      </c>
      <c r="AD155" s="168">
        <f ca="1">IF($C155-AD$1&lt;År1,0,AC154*(1-VLOOKUP($A155,[1]Hugst!$R$5:$W$9,MATCH(ROUNDUP((AD$1)/10,0)*10,[1]Hugst!$R$4:$W$4,0))))</f>
        <v>0</v>
      </c>
      <c r="AE155" s="168">
        <f ca="1">IF($C155-AE$1&lt;År1,0,AD154*(1-VLOOKUP($A155,[1]Hugst!$R$5:$W$9,MATCH(ROUNDUP((AE$1)/10,0)*10,[1]Hugst!$R$4:$W$4,0))))</f>
        <v>0</v>
      </c>
      <c r="AF155" s="168">
        <f ca="1">IF($C155-AF$1&lt;År1,0,AE154*(1-VLOOKUP($A155,[1]Hugst!$R$5:$W$9,MATCH(ROUNDUP((AF$1)/10,0)*10,[1]Hugst!$R$4:$W$4,0))))</f>
        <v>0</v>
      </c>
      <c r="AG155" s="168">
        <f ca="1">IF($C155-AG$1&lt;År1,0,AF154*(1-VLOOKUP($A155,[1]Hugst!$R$5:$W$9,MATCH(ROUNDUP((AG$1)/10,0)*10,[1]Hugst!$R$4:$W$4,0))))</f>
        <v>0</v>
      </c>
      <c r="AH155" s="168">
        <f ca="1">IF($C155-AH$1&lt;År1,0,AG154*(1-VLOOKUP($A155,[1]Hugst!$R$5:$W$9,MATCH(ROUNDUP((AH$1)/10,0)*10,[1]Hugst!$R$4:$W$4,0))))</f>
        <v>0</v>
      </c>
      <c r="AI155" s="168">
        <f ca="1">IF($C155-AI$1&lt;År1,0,AH154*(1-VLOOKUP($A155,[1]Hugst!$R$5:$W$9,MATCH(ROUNDUP((AI$1)/10,0)*10,[1]Hugst!$R$4:$W$4,0))))</f>
        <v>0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*VLOOKUP(A156,Skovbrug!$A$13:$D$17,IF('Skovbrug-alder'!C156&lt;=År2,3,4),FALSE)-IF(C156&gt;2020,SUM(INDEX($C$1:$D$311,MATCH(1,(2020=$C$1:$C$311)*(B156=$B$1:$B$311)*(A156=$A$1:$A$311),0),2):D155),0))</f>
        <v>0</v>
      </c>
      <c r="E156" s="168">
        <f t="shared" ca="1" si="3"/>
        <v>0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8">
        <f ca="1">IF($C156-G$1&lt;År1,0,F155*(1-VLOOKUP($A156,[1]Hugst!$R$5:$W$9,MATCH(ROUNDUP((G$1)/10,0)*10,[1]Hugst!$R$4:$W$4,0))))</f>
        <v>0</v>
      </c>
      <c r="H156" s="168">
        <f ca="1">IF($C156-H$1&lt;År1,0,G155*(1-VLOOKUP($A156,[1]Hugst!$R$5:$W$9,MATCH(ROUNDUP((H$1)/10,0)*10,[1]Hugst!$R$4:$W$4,0))))</f>
        <v>0</v>
      </c>
      <c r="I156" s="168">
        <f ca="1">IF($C156-I$1&lt;År1,0,H155*(1-VLOOKUP($A156,[1]Hugst!$R$5:$W$9,MATCH(ROUNDUP((I$1)/10,0)*10,[1]Hugst!$R$4:$W$4,0))))</f>
        <v>0</v>
      </c>
      <c r="J156" s="168">
        <f ca="1">IF($C156-J$1&lt;År1,0,I155*(1-VLOOKUP($A156,[1]Hugst!$R$5:$W$9,MATCH(ROUNDUP((J$1)/10,0)*10,[1]Hugst!$R$4:$W$4,0))))</f>
        <v>0</v>
      </c>
      <c r="K156" s="168">
        <f ca="1">IF($C156-K$1&lt;År1,0,J155*(1-VLOOKUP($A156,[1]Hugst!$R$5:$W$9,MATCH(ROUNDUP((K$1)/10,0)*10,[1]Hugst!$R$4:$W$4,0))))</f>
        <v>0</v>
      </c>
      <c r="L156" s="168">
        <f ca="1">IF($C156-L$1&lt;År1,0,K155*(1-VLOOKUP($A156,[1]Hugst!$R$5:$W$9,MATCH(ROUNDUP((L$1)/10,0)*10,[1]Hugst!$R$4:$W$4,0))))</f>
        <v>0</v>
      </c>
      <c r="M156" s="168">
        <f ca="1">IF($C156-M$1&lt;År1,0,L155*(1-VLOOKUP($A156,[1]Hugst!$R$5:$W$9,MATCH(ROUNDUP((M$1)/10,0)*10,[1]Hugst!$R$4:$W$4,0))))</f>
        <v>0</v>
      </c>
      <c r="N156" s="168">
        <f ca="1">IF($C156-N$1&lt;År1,0,M155*(1-VLOOKUP($A156,[1]Hugst!$R$5:$W$9,MATCH(ROUNDUP((N$1)/10,0)*10,[1]Hugst!$R$4:$W$4,0))))</f>
        <v>0</v>
      </c>
      <c r="O156" s="168">
        <f ca="1">IF($C156-O$1&lt;År1,0,N155*(1-VLOOKUP($A156,[1]Hugst!$R$5:$W$9,MATCH(ROUNDUP((O$1)/10,0)*10,[1]Hugst!$R$4:$W$4,0))))</f>
        <v>0</v>
      </c>
      <c r="P156" s="168">
        <f ca="1">IF($C156-P$1&lt;År1,0,O155*(1-VLOOKUP($A156,[1]Hugst!$R$5:$W$9,MATCH(ROUNDUP((P$1)/10,0)*10,[1]Hugst!$R$4:$W$4,0))))</f>
        <v>0</v>
      </c>
      <c r="Q156" s="168">
        <f ca="1">IF($C156-Q$1&lt;År1,0,P155*(1-VLOOKUP($A156,[1]Hugst!$R$5:$W$9,MATCH(ROUNDUP((Q$1)/10,0)*10,[1]Hugst!$R$4:$W$4,0))))</f>
        <v>0</v>
      </c>
      <c r="R156" s="168">
        <f ca="1">IF($C156-R$1&lt;År1,0,Q155*(1-VLOOKUP($A156,[1]Hugst!$R$5:$W$9,MATCH(ROUNDUP((R$1)/10,0)*10,[1]Hugst!$R$4:$W$4,0))))</f>
        <v>0</v>
      </c>
      <c r="S156" s="168">
        <f ca="1">IF($C156-S$1&lt;År1,0,R155*(1-VLOOKUP($A156,[1]Hugst!$R$5:$W$9,MATCH(ROUNDUP((S$1)/10,0)*10,[1]Hugst!$R$4:$W$4,0))))</f>
        <v>0</v>
      </c>
      <c r="T156" s="168">
        <f ca="1">IF($C156-T$1&lt;År1,0,S155*(1-VLOOKUP($A156,[1]Hugst!$R$5:$W$9,MATCH(ROUNDUP((T$1)/10,0)*10,[1]Hugst!$R$4:$W$4,0))))</f>
        <v>0</v>
      </c>
      <c r="U156" s="168">
        <f ca="1">IF($C156-U$1&lt;År1,0,T155*(1-VLOOKUP($A156,[1]Hugst!$R$5:$W$9,MATCH(ROUNDUP((U$1)/10,0)*10,[1]Hugst!$R$4:$W$4,0))))</f>
        <v>0</v>
      </c>
      <c r="V156" s="168">
        <f ca="1">IF($C156-V$1&lt;År1,0,U155*(1-VLOOKUP($A156,[1]Hugst!$R$5:$W$9,MATCH(ROUNDUP((V$1)/10,0)*10,[1]Hugst!$R$4:$W$4,0))))</f>
        <v>0</v>
      </c>
      <c r="W156" s="168">
        <f ca="1">IF($C156-W$1&lt;År1,0,V155*(1-VLOOKUP($A156,[1]Hugst!$R$5:$W$9,MATCH(ROUNDUP((W$1)/10,0)*10,[1]Hugst!$R$4:$W$4,0))))</f>
        <v>0</v>
      </c>
      <c r="X156" s="168">
        <f ca="1">IF($C156-X$1&lt;År1,0,W155*(1-VLOOKUP($A156,[1]Hugst!$R$5:$W$9,MATCH(ROUNDUP((X$1)/10,0)*10,[1]Hugst!$R$4:$W$4,0))))</f>
        <v>0</v>
      </c>
      <c r="Y156" s="168">
        <f ca="1">IF($C156-Y$1&lt;År1,0,X155*(1-VLOOKUP($A156,[1]Hugst!$R$5:$W$9,MATCH(ROUNDUP((Y$1)/10,0)*10,[1]Hugst!$R$4:$W$4,0))))</f>
        <v>0</v>
      </c>
      <c r="Z156" s="168">
        <f ca="1">IF($C156-Z$1&lt;År1,0,Y155*(1-VLOOKUP($A156,[1]Hugst!$R$5:$W$9,MATCH(ROUNDUP((Z$1)/10,0)*10,[1]Hugst!$R$4:$W$4,0))))</f>
        <v>0</v>
      </c>
      <c r="AA156" s="168">
        <f ca="1">IF($C156-AA$1&lt;År1,0,Z155*(1-VLOOKUP($A156,[1]Hugst!$R$5:$W$9,MATCH(ROUNDUP((AA$1)/10,0)*10,[1]Hugst!$R$4:$W$4,0))))</f>
        <v>0</v>
      </c>
      <c r="AB156" s="168">
        <f ca="1">IF($C156-AB$1&lt;År1,0,AA155*(1-VLOOKUP($A156,[1]Hugst!$R$5:$W$9,MATCH(ROUNDUP((AB$1)/10,0)*10,[1]Hugst!$R$4:$W$4,0))))</f>
        <v>0</v>
      </c>
      <c r="AC156" s="168">
        <f ca="1">IF($C156-AC$1&lt;År1,0,AB155*(1-VLOOKUP($A156,[1]Hugst!$R$5:$W$9,MATCH(ROUNDUP((AC$1)/10,0)*10,[1]Hugst!$R$4:$W$4,0))))</f>
        <v>0</v>
      </c>
      <c r="AD156" s="168">
        <f ca="1">IF($C156-AD$1&lt;År1,0,AC155*(1-VLOOKUP($A156,[1]Hugst!$R$5:$W$9,MATCH(ROUNDUP((AD$1)/10,0)*10,[1]Hugst!$R$4:$W$4,0))))</f>
        <v>0</v>
      </c>
      <c r="AE156" s="168">
        <f ca="1">IF($C156-AE$1&lt;År1,0,AD155*(1-VLOOKUP($A156,[1]Hugst!$R$5:$W$9,MATCH(ROUNDUP((AE$1)/10,0)*10,[1]Hugst!$R$4:$W$4,0))))</f>
        <v>0</v>
      </c>
      <c r="AF156" s="168">
        <f ca="1">IF($C156-AF$1&lt;År1,0,AE155*(1-VLOOKUP($A156,[1]Hugst!$R$5:$W$9,MATCH(ROUNDUP((AF$1)/10,0)*10,[1]Hugst!$R$4:$W$4,0))))</f>
        <v>0</v>
      </c>
      <c r="AG156" s="168">
        <f ca="1">IF($C156-AG$1&lt;År1,0,AF155*(1-VLOOKUP($A156,[1]Hugst!$R$5:$W$9,MATCH(ROUNDUP((AG$1)/10,0)*10,[1]Hugst!$R$4:$W$4,0))))</f>
        <v>0</v>
      </c>
      <c r="AH156" s="168">
        <f ca="1">IF($C156-AH$1&lt;År1,0,AG155*(1-VLOOKUP($A156,[1]Hugst!$R$5:$W$9,MATCH(ROUNDUP((AH$1)/10,0)*10,[1]Hugst!$R$4:$W$4,0))))</f>
        <v>0</v>
      </c>
      <c r="AI156" s="168">
        <f ca="1">IF($C156-AI$1&lt;År1,0,AH155*(1-VLOOKUP($A156,[1]Hugst!$R$5:$W$9,MATCH(ROUNDUP((AI$1)/10,0)*10,[1]Hugst!$R$4:$W$4,0))))</f>
        <v>0</v>
      </c>
      <c r="AJ156" s="168">
        <f ca="1">IF($C156-AJ$1&lt;År1,0,AI155*(1-VLOOKUP($A156,[1]Hugst!$R$5:$W$9,MATCH(ROUNDUP((AJ$1)/10,0)*10,[1]Hugst!$R$4:$W$4,0))))</f>
        <v>0</v>
      </c>
    </row>
    <row r="157" spans="1:36" x14ac:dyDescent="0.25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*VLOOKUP(A157,Skovbrug!$A$13:$D$17,IF('Skovbrug-alder'!C157&lt;=År2,3,4),FALSE)-IF(C157&gt;2020,SUM(INDEX($C$1:$D$311,MATCH(1,(2020=$C$1:$C$311)*(B157=$B$1:$B$311)*(A157=$A$1:$A$311),0),2):D156),0)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*VLOOKUP(A158,Skovbrug!$A$13:$D$17,IF('Skovbrug-alder'!C158&lt;=År2,3,4),FALSE)-IF(C158&gt;2020,SUM(INDEX($C$1:$D$311,MATCH(1,(2020=$C$1:$C$311)*(B158=$B$1:$B$311)*(A158=$A$1:$A$311),0),2):D157),0))</f>
        <v>0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8">
        <f ca="1">IF($C158-G$1&lt;År1,0,F157*(1-VLOOKUP($A158,[1]Hugst!$R$5:$W$9,MATCH(ROUNDUP((G$1)/10,0)*10,[1]Hugst!$R$4:$W$4,0))))</f>
        <v>0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*VLOOKUP(A159,Skovbrug!$A$13:$D$17,IF('Skovbrug-alder'!C159&lt;=År2,3,4),FALSE)-IF(C159&gt;2020,SUM(INDEX($C$1:$D$311,MATCH(1,(2020=$C$1:$C$311)*(B159=$B$1:$B$311)*(A159=$A$1:$A$311),0),2):D158),0))</f>
        <v>0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8">
        <f ca="1">IF($C159-G$1&lt;År1,0,F158*(1-VLOOKUP($A159,[1]Hugst!$R$5:$W$9,MATCH(ROUNDUP((G$1)/10,0)*10,[1]Hugst!$R$4:$W$4,0))))</f>
        <v>0</v>
      </c>
      <c r="H159" s="168">
        <f ca="1">IF($C159-H$1&lt;År1,0,G158*(1-VLOOKUP($A159,[1]Hugst!$R$5:$W$9,MATCH(ROUNDUP((H$1)/10,0)*10,[1]Hugst!$R$4:$W$4,0))))</f>
        <v>0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*VLOOKUP(A160,Skovbrug!$A$13:$D$17,IF('Skovbrug-alder'!C160&lt;=År2,3,4),FALSE)-IF(C160&gt;2020,SUM(INDEX($C$1:$D$311,MATCH(1,(2020=$C$1:$C$311)*(B160=$B$1:$B$311)*(A160=$A$1:$A$311),0),2):D159),0))</f>
        <v>0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8">
        <f ca="1">IF($C160-G$1&lt;År1,0,F159*(1-VLOOKUP($A160,[1]Hugst!$R$5:$W$9,MATCH(ROUNDUP((G$1)/10,0)*10,[1]Hugst!$R$4:$W$4,0))))</f>
        <v>0</v>
      </c>
      <c r="H160" s="168">
        <f ca="1">IF($C160-H$1&lt;År1,0,G159*(1-VLOOKUP($A160,[1]Hugst!$R$5:$W$9,MATCH(ROUNDUP((H$1)/10,0)*10,[1]Hugst!$R$4:$W$4,0))))</f>
        <v>0</v>
      </c>
      <c r="I160" s="168">
        <f ca="1">IF($C160-I$1&lt;År1,0,H159*(1-VLOOKUP($A160,[1]Hugst!$R$5:$W$9,MATCH(ROUNDUP((I$1)/10,0)*10,[1]Hugst!$R$4:$W$4,0))))</f>
        <v>0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*VLOOKUP(A161,Skovbrug!$A$13:$D$17,IF('Skovbrug-alder'!C161&lt;=År2,3,4),FALSE)-IF(C161&gt;2020,SUM(INDEX($C$1:$D$311,MATCH(1,(2020=$C$1:$C$311)*(B161=$B$1:$B$311)*(A161=$A$1:$A$311),0),2):D160),0))</f>
        <v>0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8">
        <f ca="1">IF($C161-G$1&lt;År1,0,F160*(1-VLOOKUP($A161,[1]Hugst!$R$5:$W$9,MATCH(ROUNDUP((G$1)/10,0)*10,[1]Hugst!$R$4:$W$4,0))))</f>
        <v>0</v>
      </c>
      <c r="H161" s="168">
        <f ca="1">IF($C161-H$1&lt;År1,0,G160*(1-VLOOKUP($A161,[1]Hugst!$R$5:$W$9,MATCH(ROUNDUP((H$1)/10,0)*10,[1]Hugst!$R$4:$W$4,0))))</f>
        <v>0</v>
      </c>
      <c r="I161" s="168">
        <f ca="1">IF($C161-I$1&lt;År1,0,H160*(1-VLOOKUP($A161,[1]Hugst!$R$5:$W$9,MATCH(ROUNDUP((I$1)/10,0)*10,[1]Hugst!$R$4:$W$4,0))))</f>
        <v>0</v>
      </c>
      <c r="J161" s="168">
        <f ca="1">IF($C161-J$1&lt;År1,0,I160*(1-VLOOKUP($A161,[1]Hugst!$R$5:$W$9,MATCH(ROUNDUP((J$1)/10,0)*10,[1]Hugst!$R$4:$W$4,0))))</f>
        <v>0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*VLOOKUP(A162,Skovbrug!$A$13:$D$17,IF('Skovbrug-alder'!C162&lt;=År2,3,4),FALSE)-IF(C162&gt;2020,SUM(INDEX($C$1:$D$311,MATCH(1,(2020=$C$1:$C$311)*(B162=$B$1:$B$311)*(A162=$A$1:$A$311),0),2):D161),0))</f>
        <v>0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8">
        <f ca="1">IF($C162-G$1&lt;År1,0,F161*(1-VLOOKUP($A162,[1]Hugst!$R$5:$W$9,MATCH(ROUNDUP((G$1)/10,0)*10,[1]Hugst!$R$4:$W$4,0))))</f>
        <v>0</v>
      </c>
      <c r="H162" s="168">
        <f ca="1">IF($C162-H$1&lt;År1,0,G161*(1-VLOOKUP($A162,[1]Hugst!$R$5:$W$9,MATCH(ROUNDUP((H$1)/10,0)*10,[1]Hugst!$R$4:$W$4,0))))</f>
        <v>0</v>
      </c>
      <c r="I162" s="168">
        <f ca="1">IF($C162-I$1&lt;År1,0,H161*(1-VLOOKUP($A162,[1]Hugst!$R$5:$W$9,MATCH(ROUNDUP((I$1)/10,0)*10,[1]Hugst!$R$4:$W$4,0))))</f>
        <v>0</v>
      </c>
      <c r="J162" s="168">
        <f ca="1">IF($C162-J$1&lt;År1,0,I161*(1-VLOOKUP($A162,[1]Hugst!$R$5:$W$9,MATCH(ROUNDUP((J$1)/10,0)*10,[1]Hugst!$R$4:$W$4,0))))</f>
        <v>0</v>
      </c>
      <c r="K162" s="168">
        <f ca="1">IF($C162-K$1&lt;År1,0,J161*(1-VLOOKUP($A162,[1]Hugst!$R$5:$W$9,MATCH(ROUNDUP((K$1)/10,0)*10,[1]Hugst!$R$4:$W$4,0))))</f>
        <v>0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*VLOOKUP(A163,Skovbrug!$A$13:$D$17,IF('Skovbrug-alder'!C163&lt;=År2,3,4),FALSE)-IF(C163&gt;2020,SUM(INDEX($C$1:$D$311,MATCH(1,(2020=$C$1:$C$311)*(B163=$B$1:$B$311)*(A163=$A$1:$A$311),0),2):D162),0))</f>
        <v>0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8">
        <f ca="1">IF($C163-G$1&lt;År1,0,F162*(1-VLOOKUP($A163,[1]Hugst!$R$5:$W$9,MATCH(ROUNDUP((G$1)/10,0)*10,[1]Hugst!$R$4:$W$4,0))))</f>
        <v>0</v>
      </c>
      <c r="H163" s="168">
        <f ca="1">IF($C163-H$1&lt;År1,0,G162*(1-VLOOKUP($A163,[1]Hugst!$R$5:$W$9,MATCH(ROUNDUP((H$1)/10,0)*10,[1]Hugst!$R$4:$W$4,0))))</f>
        <v>0</v>
      </c>
      <c r="I163" s="168">
        <f ca="1">IF($C163-I$1&lt;År1,0,H162*(1-VLOOKUP($A163,[1]Hugst!$R$5:$W$9,MATCH(ROUNDUP((I$1)/10,0)*10,[1]Hugst!$R$4:$W$4,0))))</f>
        <v>0</v>
      </c>
      <c r="J163" s="168">
        <f ca="1">IF($C163-J$1&lt;År1,0,I162*(1-VLOOKUP($A163,[1]Hugst!$R$5:$W$9,MATCH(ROUNDUP((J$1)/10,0)*10,[1]Hugst!$R$4:$W$4,0))))</f>
        <v>0</v>
      </c>
      <c r="K163" s="168">
        <f ca="1">IF($C163-K$1&lt;År1,0,J162*(1-VLOOKUP($A163,[1]Hugst!$R$5:$W$9,MATCH(ROUNDUP((K$1)/10,0)*10,[1]Hugst!$R$4:$W$4,0))))</f>
        <v>0</v>
      </c>
      <c r="L163" s="168">
        <f ca="1">IF($C163-L$1&lt;År1,0,K162*(1-VLOOKUP($A163,[1]Hugst!$R$5:$W$9,MATCH(ROUNDUP((L$1)/10,0)*10,[1]Hugst!$R$4:$W$4,0))))</f>
        <v>0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*VLOOKUP(A164,Skovbrug!$A$13:$D$17,IF('Skovbrug-alder'!C164&lt;=År2,3,4),FALSE)-IF(C164&gt;2020,SUM(INDEX($C$1:$D$311,MATCH(1,(2020=$C$1:$C$311)*(B164=$B$1:$B$311)*(A164=$A$1:$A$311),0),2):D163),0))</f>
        <v>0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8">
        <f ca="1">IF($C164-G$1&lt;År1,0,F163*(1-VLOOKUP($A164,[1]Hugst!$R$5:$W$9,MATCH(ROUNDUP((G$1)/10,0)*10,[1]Hugst!$R$4:$W$4,0))))</f>
        <v>0</v>
      </c>
      <c r="H164" s="168">
        <f ca="1">IF($C164-H$1&lt;År1,0,G163*(1-VLOOKUP($A164,[1]Hugst!$R$5:$W$9,MATCH(ROUNDUP((H$1)/10,0)*10,[1]Hugst!$R$4:$W$4,0))))</f>
        <v>0</v>
      </c>
      <c r="I164" s="168">
        <f ca="1">IF($C164-I$1&lt;År1,0,H163*(1-VLOOKUP($A164,[1]Hugst!$R$5:$W$9,MATCH(ROUNDUP((I$1)/10,0)*10,[1]Hugst!$R$4:$W$4,0))))</f>
        <v>0</v>
      </c>
      <c r="J164" s="168">
        <f ca="1">IF($C164-J$1&lt;År1,0,I163*(1-VLOOKUP($A164,[1]Hugst!$R$5:$W$9,MATCH(ROUNDUP((J$1)/10,0)*10,[1]Hugst!$R$4:$W$4,0))))</f>
        <v>0</v>
      </c>
      <c r="K164" s="168">
        <f ca="1">IF($C164-K$1&lt;År1,0,J163*(1-VLOOKUP($A164,[1]Hugst!$R$5:$W$9,MATCH(ROUNDUP((K$1)/10,0)*10,[1]Hugst!$R$4:$W$4,0))))</f>
        <v>0</v>
      </c>
      <c r="L164" s="168">
        <f ca="1">IF($C164-L$1&lt;År1,0,K163*(1-VLOOKUP($A164,[1]Hugst!$R$5:$W$9,MATCH(ROUNDUP((L$1)/10,0)*10,[1]Hugst!$R$4:$W$4,0))))</f>
        <v>0</v>
      </c>
      <c r="M164" s="168">
        <f ca="1">IF($C164-M$1&lt;År1,0,L163*(1-VLOOKUP($A164,[1]Hugst!$R$5:$W$9,MATCH(ROUNDUP((M$1)/10,0)*10,[1]Hugst!$R$4:$W$4,0))))</f>
        <v>0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*VLOOKUP(A165,Skovbrug!$A$13:$D$17,IF('Skovbrug-alder'!C165&lt;=År2,3,4),FALSE)-IF(C165&gt;2020,SUM(INDEX($C$1:$D$311,MATCH(1,(2020=$C$1:$C$311)*(B165=$B$1:$B$311)*(A165=$A$1:$A$311),0),2):D164),0))</f>
        <v>0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8">
        <f ca="1">IF($C165-G$1&lt;År1,0,F164*(1-VLOOKUP($A165,[1]Hugst!$R$5:$W$9,MATCH(ROUNDUP((G$1)/10,0)*10,[1]Hugst!$R$4:$W$4,0))))</f>
        <v>0</v>
      </c>
      <c r="H165" s="168">
        <f ca="1">IF($C165-H$1&lt;År1,0,G164*(1-VLOOKUP($A165,[1]Hugst!$R$5:$W$9,MATCH(ROUNDUP((H$1)/10,0)*10,[1]Hugst!$R$4:$W$4,0))))</f>
        <v>0</v>
      </c>
      <c r="I165" s="168">
        <f ca="1">IF($C165-I$1&lt;År1,0,H164*(1-VLOOKUP($A165,[1]Hugst!$R$5:$W$9,MATCH(ROUNDUP((I$1)/10,0)*10,[1]Hugst!$R$4:$W$4,0))))</f>
        <v>0</v>
      </c>
      <c r="J165" s="168">
        <f ca="1">IF($C165-J$1&lt;År1,0,I164*(1-VLOOKUP($A165,[1]Hugst!$R$5:$W$9,MATCH(ROUNDUP((J$1)/10,0)*10,[1]Hugst!$R$4:$W$4,0))))</f>
        <v>0</v>
      </c>
      <c r="K165" s="168">
        <f ca="1">IF($C165-K$1&lt;År1,0,J164*(1-VLOOKUP($A165,[1]Hugst!$R$5:$W$9,MATCH(ROUNDUP((K$1)/10,0)*10,[1]Hugst!$R$4:$W$4,0))))</f>
        <v>0</v>
      </c>
      <c r="L165" s="168">
        <f ca="1">IF($C165-L$1&lt;År1,0,K164*(1-VLOOKUP($A165,[1]Hugst!$R$5:$W$9,MATCH(ROUNDUP((L$1)/10,0)*10,[1]Hugst!$R$4:$W$4,0))))</f>
        <v>0</v>
      </c>
      <c r="M165" s="168">
        <f ca="1">IF($C165-M$1&lt;År1,0,L164*(1-VLOOKUP($A165,[1]Hugst!$R$5:$W$9,MATCH(ROUNDUP((M$1)/10,0)*10,[1]Hugst!$R$4:$W$4,0))))</f>
        <v>0</v>
      </c>
      <c r="N165" s="168">
        <f ca="1">IF($C165-N$1&lt;År1,0,M164*(1-VLOOKUP($A165,[1]Hugst!$R$5:$W$9,MATCH(ROUNDUP((N$1)/10,0)*10,[1]Hugst!$R$4:$W$4,0))))</f>
        <v>0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*VLOOKUP(A166,Skovbrug!$A$13:$D$17,IF('Skovbrug-alder'!C166&lt;=År2,3,4),FALSE)-IF(C166&gt;2020,SUM(INDEX($C$1:$D$311,MATCH(1,(2020=$C$1:$C$311)*(B166=$B$1:$B$311)*(A166=$A$1:$A$311),0),2):D165),0))</f>
        <v>0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8">
        <f ca="1">IF($C166-G$1&lt;År1,0,F165*(1-VLOOKUP($A166,[1]Hugst!$R$5:$W$9,MATCH(ROUNDUP((G$1)/10,0)*10,[1]Hugst!$R$4:$W$4,0))))</f>
        <v>0</v>
      </c>
      <c r="H166" s="168">
        <f ca="1">IF($C166-H$1&lt;År1,0,G165*(1-VLOOKUP($A166,[1]Hugst!$R$5:$W$9,MATCH(ROUNDUP((H$1)/10,0)*10,[1]Hugst!$R$4:$W$4,0))))</f>
        <v>0</v>
      </c>
      <c r="I166" s="168">
        <f ca="1">IF($C166-I$1&lt;År1,0,H165*(1-VLOOKUP($A166,[1]Hugst!$R$5:$W$9,MATCH(ROUNDUP((I$1)/10,0)*10,[1]Hugst!$R$4:$W$4,0))))</f>
        <v>0</v>
      </c>
      <c r="J166" s="168">
        <f ca="1">IF($C166-J$1&lt;År1,0,I165*(1-VLOOKUP($A166,[1]Hugst!$R$5:$W$9,MATCH(ROUNDUP((J$1)/10,0)*10,[1]Hugst!$R$4:$W$4,0))))</f>
        <v>0</v>
      </c>
      <c r="K166" s="168">
        <f ca="1">IF($C166-K$1&lt;År1,0,J165*(1-VLOOKUP($A166,[1]Hugst!$R$5:$W$9,MATCH(ROUNDUP((K$1)/10,0)*10,[1]Hugst!$R$4:$W$4,0))))</f>
        <v>0</v>
      </c>
      <c r="L166" s="168">
        <f ca="1">IF($C166-L$1&lt;År1,0,K165*(1-VLOOKUP($A166,[1]Hugst!$R$5:$W$9,MATCH(ROUNDUP((L$1)/10,0)*10,[1]Hugst!$R$4:$W$4,0))))</f>
        <v>0</v>
      </c>
      <c r="M166" s="168">
        <f ca="1">IF($C166-M$1&lt;År1,0,L165*(1-VLOOKUP($A166,[1]Hugst!$R$5:$W$9,MATCH(ROUNDUP((M$1)/10,0)*10,[1]Hugst!$R$4:$W$4,0))))</f>
        <v>0</v>
      </c>
      <c r="N166" s="168">
        <f ca="1">IF($C166-N$1&lt;År1,0,M165*(1-VLOOKUP($A166,[1]Hugst!$R$5:$W$9,MATCH(ROUNDUP((N$1)/10,0)*10,[1]Hugst!$R$4:$W$4,0))))</f>
        <v>0</v>
      </c>
      <c r="O166" s="168">
        <f ca="1">IF($C166-O$1&lt;År1,0,N165*(1-VLOOKUP($A166,[1]Hugst!$R$5:$W$9,MATCH(ROUNDUP((O$1)/10,0)*10,[1]Hugst!$R$4:$W$4,0))))</f>
        <v>0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*VLOOKUP(A167,Skovbrug!$A$13:$D$17,IF('Skovbrug-alder'!C167&lt;=År2,3,4),FALSE)-IF(C167&gt;2020,SUM(INDEX($C$1:$D$311,MATCH(1,(2020=$C$1:$C$311)*(B167=$B$1:$B$311)*(A167=$A$1:$A$311),0),2):D166),0))</f>
        <v>0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8">
        <f ca="1">IF($C167-G$1&lt;År1,0,F166*(1-VLOOKUP($A167,[1]Hugst!$R$5:$W$9,MATCH(ROUNDUP((G$1)/10,0)*10,[1]Hugst!$R$4:$W$4,0))))</f>
        <v>0</v>
      </c>
      <c r="H167" s="168">
        <f ca="1">IF($C167-H$1&lt;År1,0,G166*(1-VLOOKUP($A167,[1]Hugst!$R$5:$W$9,MATCH(ROUNDUP((H$1)/10,0)*10,[1]Hugst!$R$4:$W$4,0))))</f>
        <v>0</v>
      </c>
      <c r="I167" s="168">
        <f ca="1">IF($C167-I$1&lt;År1,0,H166*(1-VLOOKUP($A167,[1]Hugst!$R$5:$W$9,MATCH(ROUNDUP((I$1)/10,0)*10,[1]Hugst!$R$4:$W$4,0))))</f>
        <v>0</v>
      </c>
      <c r="J167" s="168">
        <f ca="1">IF($C167-J$1&lt;År1,0,I166*(1-VLOOKUP($A167,[1]Hugst!$R$5:$W$9,MATCH(ROUNDUP((J$1)/10,0)*10,[1]Hugst!$R$4:$W$4,0))))</f>
        <v>0</v>
      </c>
      <c r="K167" s="168">
        <f ca="1">IF($C167-K$1&lt;År1,0,J166*(1-VLOOKUP($A167,[1]Hugst!$R$5:$W$9,MATCH(ROUNDUP((K$1)/10,0)*10,[1]Hugst!$R$4:$W$4,0))))</f>
        <v>0</v>
      </c>
      <c r="L167" s="168">
        <f ca="1">IF($C167-L$1&lt;År1,0,K166*(1-VLOOKUP($A167,[1]Hugst!$R$5:$W$9,MATCH(ROUNDUP((L$1)/10,0)*10,[1]Hugst!$R$4:$W$4,0))))</f>
        <v>0</v>
      </c>
      <c r="M167" s="168">
        <f ca="1">IF($C167-M$1&lt;År1,0,L166*(1-VLOOKUP($A167,[1]Hugst!$R$5:$W$9,MATCH(ROUNDUP((M$1)/10,0)*10,[1]Hugst!$R$4:$W$4,0))))</f>
        <v>0</v>
      </c>
      <c r="N167" s="168">
        <f ca="1">IF($C167-N$1&lt;År1,0,M166*(1-VLOOKUP($A167,[1]Hugst!$R$5:$W$9,MATCH(ROUNDUP((N$1)/10,0)*10,[1]Hugst!$R$4:$W$4,0))))</f>
        <v>0</v>
      </c>
      <c r="O167" s="168">
        <f ca="1">IF($C167-O$1&lt;År1,0,N166*(1-VLOOKUP($A167,[1]Hugst!$R$5:$W$9,MATCH(ROUNDUP((O$1)/10,0)*10,[1]Hugst!$R$4:$W$4,0))))</f>
        <v>0</v>
      </c>
      <c r="P167" s="168">
        <f ca="1">IF($C167-P$1&lt;År1,0,O166*(1-VLOOKUP($A167,[1]Hugst!$R$5:$W$9,MATCH(ROUNDUP((P$1)/10,0)*10,[1]Hugst!$R$4:$W$4,0))))</f>
        <v>0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*VLOOKUP(A168,Skovbrug!$A$13:$D$17,IF('Skovbrug-alder'!C168&lt;=År2,3,4),FALSE)-IF(C168&gt;2020,SUM(INDEX($C$1:$D$311,MATCH(1,(2020=$C$1:$C$311)*(B168=$B$1:$B$311)*(A168=$A$1:$A$311),0),2):D167),0))</f>
        <v>0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8">
        <f ca="1">IF($C168-G$1&lt;År1,0,F167*(1-VLOOKUP($A168,[1]Hugst!$R$5:$W$9,MATCH(ROUNDUP((G$1)/10,0)*10,[1]Hugst!$R$4:$W$4,0))))</f>
        <v>0</v>
      </c>
      <c r="H168" s="168">
        <f ca="1">IF($C168-H$1&lt;År1,0,G167*(1-VLOOKUP($A168,[1]Hugst!$R$5:$W$9,MATCH(ROUNDUP((H$1)/10,0)*10,[1]Hugst!$R$4:$W$4,0))))</f>
        <v>0</v>
      </c>
      <c r="I168" s="168">
        <f ca="1">IF($C168-I$1&lt;År1,0,H167*(1-VLOOKUP($A168,[1]Hugst!$R$5:$W$9,MATCH(ROUNDUP((I$1)/10,0)*10,[1]Hugst!$R$4:$W$4,0))))</f>
        <v>0</v>
      </c>
      <c r="J168" s="168">
        <f ca="1">IF($C168-J$1&lt;År1,0,I167*(1-VLOOKUP($A168,[1]Hugst!$R$5:$W$9,MATCH(ROUNDUP((J$1)/10,0)*10,[1]Hugst!$R$4:$W$4,0))))</f>
        <v>0</v>
      </c>
      <c r="K168" s="168">
        <f ca="1">IF($C168-K$1&lt;År1,0,J167*(1-VLOOKUP($A168,[1]Hugst!$R$5:$W$9,MATCH(ROUNDUP((K$1)/10,0)*10,[1]Hugst!$R$4:$W$4,0))))</f>
        <v>0</v>
      </c>
      <c r="L168" s="168">
        <f ca="1">IF($C168-L$1&lt;År1,0,K167*(1-VLOOKUP($A168,[1]Hugst!$R$5:$W$9,MATCH(ROUNDUP((L$1)/10,0)*10,[1]Hugst!$R$4:$W$4,0))))</f>
        <v>0</v>
      </c>
      <c r="M168" s="168">
        <f ca="1">IF($C168-M$1&lt;År1,0,L167*(1-VLOOKUP($A168,[1]Hugst!$R$5:$W$9,MATCH(ROUNDUP((M$1)/10,0)*10,[1]Hugst!$R$4:$W$4,0))))</f>
        <v>0</v>
      </c>
      <c r="N168" s="168">
        <f ca="1">IF($C168-N$1&lt;År1,0,M167*(1-VLOOKUP($A168,[1]Hugst!$R$5:$W$9,MATCH(ROUNDUP((N$1)/10,0)*10,[1]Hugst!$R$4:$W$4,0))))</f>
        <v>0</v>
      </c>
      <c r="O168" s="168">
        <f ca="1">IF($C168-O$1&lt;År1,0,N167*(1-VLOOKUP($A168,[1]Hugst!$R$5:$W$9,MATCH(ROUNDUP((O$1)/10,0)*10,[1]Hugst!$R$4:$W$4,0))))</f>
        <v>0</v>
      </c>
      <c r="P168" s="168">
        <f ca="1">IF($C168-P$1&lt;År1,0,O167*(1-VLOOKUP($A168,[1]Hugst!$R$5:$W$9,MATCH(ROUNDUP((P$1)/10,0)*10,[1]Hugst!$R$4:$W$4,0))))</f>
        <v>0</v>
      </c>
      <c r="Q168" s="168">
        <f ca="1">IF($C168-Q$1&lt;År1,0,P167*(1-VLOOKUP($A168,[1]Hugst!$R$5:$W$9,MATCH(ROUNDUP((Q$1)/10,0)*10,[1]Hugst!$R$4:$W$4,0))))</f>
        <v>0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*VLOOKUP(A169,Skovbrug!$A$13:$D$17,IF('Skovbrug-alder'!C169&lt;=År2,3,4),FALSE)-IF(C169&gt;2020,SUM(INDEX($C$1:$D$311,MATCH(1,(2020=$C$1:$C$311)*(B169=$B$1:$B$311)*(A169=$A$1:$A$311),0),2):D168),0))</f>
        <v>0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8">
        <f ca="1">IF($C169-G$1&lt;År1,0,F168*(1-VLOOKUP($A169,[1]Hugst!$R$5:$W$9,MATCH(ROUNDUP((G$1)/10,0)*10,[1]Hugst!$R$4:$W$4,0))))</f>
        <v>0</v>
      </c>
      <c r="H169" s="168">
        <f ca="1">IF($C169-H$1&lt;År1,0,G168*(1-VLOOKUP($A169,[1]Hugst!$R$5:$W$9,MATCH(ROUNDUP((H$1)/10,0)*10,[1]Hugst!$R$4:$W$4,0))))</f>
        <v>0</v>
      </c>
      <c r="I169" s="168">
        <f ca="1">IF($C169-I$1&lt;År1,0,H168*(1-VLOOKUP($A169,[1]Hugst!$R$5:$W$9,MATCH(ROUNDUP((I$1)/10,0)*10,[1]Hugst!$R$4:$W$4,0))))</f>
        <v>0</v>
      </c>
      <c r="J169" s="168">
        <f ca="1">IF($C169-J$1&lt;År1,0,I168*(1-VLOOKUP($A169,[1]Hugst!$R$5:$W$9,MATCH(ROUNDUP((J$1)/10,0)*10,[1]Hugst!$R$4:$W$4,0))))</f>
        <v>0</v>
      </c>
      <c r="K169" s="168">
        <f ca="1">IF($C169-K$1&lt;År1,0,J168*(1-VLOOKUP($A169,[1]Hugst!$R$5:$W$9,MATCH(ROUNDUP((K$1)/10,0)*10,[1]Hugst!$R$4:$W$4,0))))</f>
        <v>0</v>
      </c>
      <c r="L169" s="168">
        <f ca="1">IF($C169-L$1&lt;År1,0,K168*(1-VLOOKUP($A169,[1]Hugst!$R$5:$W$9,MATCH(ROUNDUP((L$1)/10,0)*10,[1]Hugst!$R$4:$W$4,0))))</f>
        <v>0</v>
      </c>
      <c r="M169" s="168">
        <f ca="1">IF($C169-M$1&lt;År1,0,L168*(1-VLOOKUP($A169,[1]Hugst!$R$5:$W$9,MATCH(ROUNDUP((M$1)/10,0)*10,[1]Hugst!$R$4:$W$4,0))))</f>
        <v>0</v>
      </c>
      <c r="N169" s="168">
        <f ca="1">IF($C169-N$1&lt;År1,0,M168*(1-VLOOKUP($A169,[1]Hugst!$R$5:$W$9,MATCH(ROUNDUP((N$1)/10,0)*10,[1]Hugst!$R$4:$W$4,0))))</f>
        <v>0</v>
      </c>
      <c r="O169" s="168">
        <f ca="1">IF($C169-O$1&lt;År1,0,N168*(1-VLOOKUP($A169,[1]Hugst!$R$5:$W$9,MATCH(ROUNDUP((O$1)/10,0)*10,[1]Hugst!$R$4:$W$4,0))))</f>
        <v>0</v>
      </c>
      <c r="P169" s="168">
        <f ca="1">IF($C169-P$1&lt;År1,0,O168*(1-VLOOKUP($A169,[1]Hugst!$R$5:$W$9,MATCH(ROUNDUP((P$1)/10,0)*10,[1]Hugst!$R$4:$W$4,0))))</f>
        <v>0</v>
      </c>
      <c r="Q169" s="168">
        <f ca="1">IF($C169-Q$1&lt;År1,0,P168*(1-VLOOKUP($A169,[1]Hugst!$R$5:$W$9,MATCH(ROUNDUP((Q$1)/10,0)*10,[1]Hugst!$R$4:$W$4,0))))</f>
        <v>0</v>
      </c>
      <c r="R169" s="168">
        <f ca="1">IF($C169-R$1&lt;År1,0,Q168*(1-VLOOKUP($A169,[1]Hugst!$R$5:$W$9,MATCH(ROUNDUP((R$1)/10,0)*10,[1]Hugst!$R$4:$W$4,0))))</f>
        <v>0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*VLOOKUP(A170,Skovbrug!$A$13:$D$17,IF('Skovbrug-alder'!C170&lt;=År2,3,4),FALSE)-IF(C170&gt;2020,SUM(INDEX($C$1:$D$311,MATCH(1,(2020=$C$1:$C$311)*(B170=$B$1:$B$311)*(A170=$A$1:$A$311),0),2):D169),0))</f>
        <v>0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8">
        <f ca="1">IF($C170-G$1&lt;År1,0,F169*(1-VLOOKUP($A170,[1]Hugst!$R$5:$W$9,MATCH(ROUNDUP((G$1)/10,0)*10,[1]Hugst!$R$4:$W$4,0))))</f>
        <v>0</v>
      </c>
      <c r="H170" s="168">
        <f ca="1">IF($C170-H$1&lt;År1,0,G169*(1-VLOOKUP($A170,[1]Hugst!$R$5:$W$9,MATCH(ROUNDUP((H$1)/10,0)*10,[1]Hugst!$R$4:$W$4,0))))</f>
        <v>0</v>
      </c>
      <c r="I170" s="168">
        <f ca="1">IF($C170-I$1&lt;År1,0,H169*(1-VLOOKUP($A170,[1]Hugst!$R$5:$W$9,MATCH(ROUNDUP((I$1)/10,0)*10,[1]Hugst!$R$4:$W$4,0))))</f>
        <v>0</v>
      </c>
      <c r="J170" s="168">
        <f ca="1">IF($C170-J$1&lt;År1,0,I169*(1-VLOOKUP($A170,[1]Hugst!$R$5:$W$9,MATCH(ROUNDUP((J$1)/10,0)*10,[1]Hugst!$R$4:$W$4,0))))</f>
        <v>0</v>
      </c>
      <c r="K170" s="168">
        <f ca="1">IF($C170-K$1&lt;År1,0,J169*(1-VLOOKUP($A170,[1]Hugst!$R$5:$W$9,MATCH(ROUNDUP((K$1)/10,0)*10,[1]Hugst!$R$4:$W$4,0))))</f>
        <v>0</v>
      </c>
      <c r="L170" s="168">
        <f ca="1">IF($C170-L$1&lt;År1,0,K169*(1-VLOOKUP($A170,[1]Hugst!$R$5:$W$9,MATCH(ROUNDUP((L$1)/10,0)*10,[1]Hugst!$R$4:$W$4,0))))</f>
        <v>0</v>
      </c>
      <c r="M170" s="168">
        <f ca="1">IF($C170-M$1&lt;År1,0,L169*(1-VLOOKUP($A170,[1]Hugst!$R$5:$W$9,MATCH(ROUNDUP((M$1)/10,0)*10,[1]Hugst!$R$4:$W$4,0))))</f>
        <v>0</v>
      </c>
      <c r="N170" s="168">
        <f ca="1">IF($C170-N$1&lt;År1,0,M169*(1-VLOOKUP($A170,[1]Hugst!$R$5:$W$9,MATCH(ROUNDUP((N$1)/10,0)*10,[1]Hugst!$R$4:$W$4,0))))</f>
        <v>0</v>
      </c>
      <c r="O170" s="168">
        <f ca="1">IF($C170-O$1&lt;År1,0,N169*(1-VLOOKUP($A170,[1]Hugst!$R$5:$W$9,MATCH(ROUNDUP((O$1)/10,0)*10,[1]Hugst!$R$4:$W$4,0))))</f>
        <v>0</v>
      </c>
      <c r="P170" s="168">
        <f ca="1">IF($C170-P$1&lt;År1,0,O169*(1-VLOOKUP($A170,[1]Hugst!$R$5:$W$9,MATCH(ROUNDUP((P$1)/10,0)*10,[1]Hugst!$R$4:$W$4,0))))</f>
        <v>0</v>
      </c>
      <c r="Q170" s="168">
        <f ca="1">IF($C170-Q$1&lt;År1,0,P169*(1-VLOOKUP($A170,[1]Hugst!$R$5:$W$9,MATCH(ROUNDUP((Q$1)/10,0)*10,[1]Hugst!$R$4:$W$4,0))))</f>
        <v>0</v>
      </c>
      <c r="R170" s="168">
        <f ca="1">IF($C170-R$1&lt;År1,0,Q169*(1-VLOOKUP($A170,[1]Hugst!$R$5:$W$9,MATCH(ROUNDUP((R$1)/10,0)*10,[1]Hugst!$R$4:$W$4,0))))</f>
        <v>0</v>
      </c>
      <c r="S170" s="168">
        <f ca="1">IF($C170-S$1&lt;År1,0,R169*(1-VLOOKUP($A170,[1]Hugst!$R$5:$W$9,MATCH(ROUNDUP((S$1)/10,0)*10,[1]Hugst!$R$4:$W$4,0))))</f>
        <v>0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*VLOOKUP(A171,Skovbrug!$A$13:$D$17,IF('Skovbrug-alder'!C171&lt;=År2,3,4),FALSE)-IF(C171&gt;2020,SUM(INDEX($C$1:$D$311,MATCH(1,(2020=$C$1:$C$311)*(B171=$B$1:$B$311)*(A171=$A$1:$A$311),0),2):D170),0))</f>
        <v>0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8">
        <f ca="1">IF($C171-G$1&lt;År1,0,F170*(1-VLOOKUP($A171,[1]Hugst!$R$5:$W$9,MATCH(ROUNDUP((G$1)/10,0)*10,[1]Hugst!$R$4:$W$4,0))))</f>
        <v>0</v>
      </c>
      <c r="H171" s="168">
        <f ca="1">IF($C171-H$1&lt;År1,0,G170*(1-VLOOKUP($A171,[1]Hugst!$R$5:$W$9,MATCH(ROUNDUP((H$1)/10,0)*10,[1]Hugst!$R$4:$W$4,0))))</f>
        <v>0</v>
      </c>
      <c r="I171" s="168">
        <f ca="1">IF($C171-I$1&lt;År1,0,H170*(1-VLOOKUP($A171,[1]Hugst!$R$5:$W$9,MATCH(ROUNDUP((I$1)/10,0)*10,[1]Hugst!$R$4:$W$4,0))))</f>
        <v>0</v>
      </c>
      <c r="J171" s="168">
        <f ca="1">IF($C171-J$1&lt;År1,0,I170*(1-VLOOKUP($A171,[1]Hugst!$R$5:$W$9,MATCH(ROUNDUP((J$1)/10,0)*10,[1]Hugst!$R$4:$W$4,0))))</f>
        <v>0</v>
      </c>
      <c r="K171" s="168">
        <f ca="1">IF($C171-K$1&lt;År1,0,J170*(1-VLOOKUP($A171,[1]Hugst!$R$5:$W$9,MATCH(ROUNDUP((K$1)/10,0)*10,[1]Hugst!$R$4:$W$4,0))))</f>
        <v>0</v>
      </c>
      <c r="L171" s="168">
        <f ca="1">IF($C171-L$1&lt;År1,0,K170*(1-VLOOKUP($A171,[1]Hugst!$R$5:$W$9,MATCH(ROUNDUP((L$1)/10,0)*10,[1]Hugst!$R$4:$W$4,0))))</f>
        <v>0</v>
      </c>
      <c r="M171" s="168">
        <f ca="1">IF($C171-M$1&lt;År1,0,L170*(1-VLOOKUP($A171,[1]Hugst!$R$5:$W$9,MATCH(ROUNDUP((M$1)/10,0)*10,[1]Hugst!$R$4:$W$4,0))))</f>
        <v>0</v>
      </c>
      <c r="N171" s="168">
        <f ca="1">IF($C171-N$1&lt;År1,0,M170*(1-VLOOKUP($A171,[1]Hugst!$R$5:$W$9,MATCH(ROUNDUP((N$1)/10,0)*10,[1]Hugst!$R$4:$W$4,0))))</f>
        <v>0</v>
      </c>
      <c r="O171" s="168">
        <f ca="1">IF($C171-O$1&lt;År1,0,N170*(1-VLOOKUP($A171,[1]Hugst!$R$5:$W$9,MATCH(ROUNDUP((O$1)/10,0)*10,[1]Hugst!$R$4:$W$4,0))))</f>
        <v>0</v>
      </c>
      <c r="P171" s="168">
        <f ca="1">IF($C171-P$1&lt;År1,0,O170*(1-VLOOKUP($A171,[1]Hugst!$R$5:$W$9,MATCH(ROUNDUP((P$1)/10,0)*10,[1]Hugst!$R$4:$W$4,0))))</f>
        <v>0</v>
      </c>
      <c r="Q171" s="168">
        <f ca="1">IF($C171-Q$1&lt;År1,0,P170*(1-VLOOKUP($A171,[1]Hugst!$R$5:$W$9,MATCH(ROUNDUP((Q$1)/10,0)*10,[1]Hugst!$R$4:$W$4,0))))</f>
        <v>0</v>
      </c>
      <c r="R171" s="168">
        <f ca="1">IF($C171-R$1&lt;År1,0,Q170*(1-VLOOKUP($A171,[1]Hugst!$R$5:$W$9,MATCH(ROUNDUP((R$1)/10,0)*10,[1]Hugst!$R$4:$W$4,0))))</f>
        <v>0</v>
      </c>
      <c r="S171" s="168">
        <f ca="1">IF($C171-S$1&lt;År1,0,R170*(1-VLOOKUP($A171,[1]Hugst!$R$5:$W$9,MATCH(ROUNDUP((S$1)/10,0)*10,[1]Hugst!$R$4:$W$4,0))))</f>
        <v>0</v>
      </c>
      <c r="T171" s="168">
        <f ca="1">IF($C171-T$1&lt;År1,0,S170*(1-VLOOKUP($A171,[1]Hugst!$R$5:$W$9,MATCH(ROUNDUP((T$1)/10,0)*10,[1]Hugst!$R$4:$W$4,0))))</f>
        <v>0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*VLOOKUP(A172,Skovbrug!$A$13:$D$17,IF('Skovbrug-alder'!C172&lt;=År2,3,4),FALSE)-IF(C172&gt;2020,SUM(INDEX($C$1:$D$311,MATCH(1,(2020=$C$1:$C$311)*(B172=$B$1:$B$311)*(A172=$A$1:$A$311),0),2):D171),0))</f>
        <v>0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8">
        <f ca="1">IF($C172-G$1&lt;År1,0,F171*(1-VLOOKUP($A172,[1]Hugst!$R$5:$W$9,MATCH(ROUNDUP((G$1)/10,0)*10,[1]Hugst!$R$4:$W$4,0))))</f>
        <v>0</v>
      </c>
      <c r="H172" s="168">
        <f ca="1">IF($C172-H$1&lt;År1,0,G171*(1-VLOOKUP($A172,[1]Hugst!$R$5:$W$9,MATCH(ROUNDUP((H$1)/10,0)*10,[1]Hugst!$R$4:$W$4,0))))</f>
        <v>0</v>
      </c>
      <c r="I172" s="168">
        <f ca="1">IF($C172-I$1&lt;År1,0,H171*(1-VLOOKUP($A172,[1]Hugst!$R$5:$W$9,MATCH(ROUNDUP((I$1)/10,0)*10,[1]Hugst!$R$4:$W$4,0))))</f>
        <v>0</v>
      </c>
      <c r="J172" s="168">
        <f ca="1">IF($C172-J$1&lt;År1,0,I171*(1-VLOOKUP($A172,[1]Hugst!$R$5:$W$9,MATCH(ROUNDUP((J$1)/10,0)*10,[1]Hugst!$R$4:$W$4,0))))</f>
        <v>0</v>
      </c>
      <c r="K172" s="168">
        <f ca="1">IF($C172-K$1&lt;År1,0,J171*(1-VLOOKUP($A172,[1]Hugst!$R$5:$W$9,MATCH(ROUNDUP((K$1)/10,0)*10,[1]Hugst!$R$4:$W$4,0))))</f>
        <v>0</v>
      </c>
      <c r="L172" s="168">
        <f ca="1">IF($C172-L$1&lt;År1,0,K171*(1-VLOOKUP($A172,[1]Hugst!$R$5:$W$9,MATCH(ROUNDUP((L$1)/10,0)*10,[1]Hugst!$R$4:$W$4,0))))</f>
        <v>0</v>
      </c>
      <c r="M172" s="168">
        <f ca="1">IF($C172-M$1&lt;År1,0,L171*(1-VLOOKUP($A172,[1]Hugst!$R$5:$W$9,MATCH(ROUNDUP((M$1)/10,0)*10,[1]Hugst!$R$4:$W$4,0))))</f>
        <v>0</v>
      </c>
      <c r="N172" s="168">
        <f ca="1">IF($C172-N$1&lt;År1,0,M171*(1-VLOOKUP($A172,[1]Hugst!$R$5:$W$9,MATCH(ROUNDUP((N$1)/10,0)*10,[1]Hugst!$R$4:$W$4,0))))</f>
        <v>0</v>
      </c>
      <c r="O172" s="168">
        <f ca="1">IF($C172-O$1&lt;År1,0,N171*(1-VLOOKUP($A172,[1]Hugst!$R$5:$W$9,MATCH(ROUNDUP((O$1)/10,0)*10,[1]Hugst!$R$4:$W$4,0))))</f>
        <v>0</v>
      </c>
      <c r="P172" s="168">
        <f ca="1">IF($C172-P$1&lt;År1,0,O171*(1-VLOOKUP($A172,[1]Hugst!$R$5:$W$9,MATCH(ROUNDUP((P$1)/10,0)*10,[1]Hugst!$R$4:$W$4,0))))</f>
        <v>0</v>
      </c>
      <c r="Q172" s="168">
        <f ca="1">IF($C172-Q$1&lt;År1,0,P171*(1-VLOOKUP($A172,[1]Hugst!$R$5:$W$9,MATCH(ROUNDUP((Q$1)/10,0)*10,[1]Hugst!$R$4:$W$4,0))))</f>
        <v>0</v>
      </c>
      <c r="R172" s="168">
        <f ca="1">IF($C172-R$1&lt;År1,0,Q171*(1-VLOOKUP($A172,[1]Hugst!$R$5:$W$9,MATCH(ROUNDUP((R$1)/10,0)*10,[1]Hugst!$R$4:$W$4,0))))</f>
        <v>0</v>
      </c>
      <c r="S172" s="168">
        <f ca="1">IF($C172-S$1&lt;År1,0,R171*(1-VLOOKUP($A172,[1]Hugst!$R$5:$W$9,MATCH(ROUNDUP((S$1)/10,0)*10,[1]Hugst!$R$4:$W$4,0))))</f>
        <v>0</v>
      </c>
      <c r="T172" s="168">
        <f ca="1">IF($C172-T$1&lt;År1,0,S171*(1-VLOOKUP($A172,[1]Hugst!$R$5:$W$9,MATCH(ROUNDUP((T$1)/10,0)*10,[1]Hugst!$R$4:$W$4,0))))</f>
        <v>0</v>
      </c>
      <c r="U172" s="168">
        <f ca="1">IF($C172-U$1&lt;År1,0,T171*(1-VLOOKUP($A172,[1]Hugst!$R$5:$W$9,MATCH(ROUNDUP((U$1)/10,0)*10,[1]Hugst!$R$4:$W$4,0))))</f>
        <v>0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*VLOOKUP(A173,Skovbrug!$A$13:$D$17,IF('Skovbrug-alder'!C173&lt;=År2,3,4),FALSE)-IF(C173&gt;2020,SUM(INDEX($C$1:$D$311,MATCH(1,(2020=$C$1:$C$311)*(B173=$B$1:$B$311)*(A173=$A$1:$A$311),0),2):D172),0))</f>
        <v>0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8">
        <f ca="1">IF($C173-G$1&lt;År1,0,F172*(1-VLOOKUP($A173,[1]Hugst!$R$5:$W$9,MATCH(ROUNDUP((G$1)/10,0)*10,[1]Hugst!$R$4:$W$4,0))))</f>
        <v>0</v>
      </c>
      <c r="H173" s="168">
        <f ca="1">IF($C173-H$1&lt;År1,0,G172*(1-VLOOKUP($A173,[1]Hugst!$R$5:$W$9,MATCH(ROUNDUP((H$1)/10,0)*10,[1]Hugst!$R$4:$W$4,0))))</f>
        <v>0</v>
      </c>
      <c r="I173" s="168">
        <f ca="1">IF($C173-I$1&lt;År1,0,H172*(1-VLOOKUP($A173,[1]Hugst!$R$5:$W$9,MATCH(ROUNDUP((I$1)/10,0)*10,[1]Hugst!$R$4:$W$4,0))))</f>
        <v>0</v>
      </c>
      <c r="J173" s="168">
        <f ca="1">IF($C173-J$1&lt;År1,0,I172*(1-VLOOKUP($A173,[1]Hugst!$R$5:$W$9,MATCH(ROUNDUP((J$1)/10,0)*10,[1]Hugst!$R$4:$W$4,0))))</f>
        <v>0</v>
      </c>
      <c r="K173" s="168">
        <f ca="1">IF($C173-K$1&lt;År1,0,J172*(1-VLOOKUP($A173,[1]Hugst!$R$5:$W$9,MATCH(ROUNDUP((K$1)/10,0)*10,[1]Hugst!$R$4:$W$4,0))))</f>
        <v>0</v>
      </c>
      <c r="L173" s="168">
        <f ca="1">IF($C173-L$1&lt;År1,0,K172*(1-VLOOKUP($A173,[1]Hugst!$R$5:$W$9,MATCH(ROUNDUP((L$1)/10,0)*10,[1]Hugst!$R$4:$W$4,0))))</f>
        <v>0</v>
      </c>
      <c r="M173" s="168">
        <f ca="1">IF($C173-M$1&lt;År1,0,L172*(1-VLOOKUP($A173,[1]Hugst!$R$5:$W$9,MATCH(ROUNDUP((M$1)/10,0)*10,[1]Hugst!$R$4:$W$4,0))))</f>
        <v>0</v>
      </c>
      <c r="N173" s="168">
        <f ca="1">IF($C173-N$1&lt;År1,0,M172*(1-VLOOKUP($A173,[1]Hugst!$R$5:$W$9,MATCH(ROUNDUP((N$1)/10,0)*10,[1]Hugst!$R$4:$W$4,0))))</f>
        <v>0</v>
      </c>
      <c r="O173" s="168">
        <f ca="1">IF($C173-O$1&lt;År1,0,N172*(1-VLOOKUP($A173,[1]Hugst!$R$5:$W$9,MATCH(ROUNDUP((O$1)/10,0)*10,[1]Hugst!$R$4:$W$4,0))))</f>
        <v>0</v>
      </c>
      <c r="P173" s="168">
        <f ca="1">IF($C173-P$1&lt;År1,0,O172*(1-VLOOKUP($A173,[1]Hugst!$R$5:$W$9,MATCH(ROUNDUP((P$1)/10,0)*10,[1]Hugst!$R$4:$W$4,0))))</f>
        <v>0</v>
      </c>
      <c r="Q173" s="168">
        <f ca="1">IF($C173-Q$1&lt;År1,0,P172*(1-VLOOKUP($A173,[1]Hugst!$R$5:$W$9,MATCH(ROUNDUP((Q$1)/10,0)*10,[1]Hugst!$R$4:$W$4,0))))</f>
        <v>0</v>
      </c>
      <c r="R173" s="168">
        <f ca="1">IF($C173-R$1&lt;År1,0,Q172*(1-VLOOKUP($A173,[1]Hugst!$R$5:$W$9,MATCH(ROUNDUP((R$1)/10,0)*10,[1]Hugst!$R$4:$W$4,0))))</f>
        <v>0</v>
      </c>
      <c r="S173" s="168">
        <f ca="1">IF($C173-S$1&lt;År1,0,R172*(1-VLOOKUP($A173,[1]Hugst!$R$5:$W$9,MATCH(ROUNDUP((S$1)/10,0)*10,[1]Hugst!$R$4:$W$4,0))))</f>
        <v>0</v>
      </c>
      <c r="T173" s="168">
        <f ca="1">IF($C173-T$1&lt;År1,0,S172*(1-VLOOKUP($A173,[1]Hugst!$R$5:$W$9,MATCH(ROUNDUP((T$1)/10,0)*10,[1]Hugst!$R$4:$W$4,0))))</f>
        <v>0</v>
      </c>
      <c r="U173" s="168">
        <f ca="1">IF($C173-U$1&lt;År1,0,T172*(1-VLOOKUP($A173,[1]Hugst!$R$5:$W$9,MATCH(ROUNDUP((U$1)/10,0)*10,[1]Hugst!$R$4:$W$4,0))))</f>
        <v>0</v>
      </c>
      <c r="V173" s="168">
        <f ca="1">IF($C173-V$1&lt;År1,0,U172*(1-VLOOKUP($A173,[1]Hugst!$R$5:$W$9,MATCH(ROUNDUP((V$1)/10,0)*10,[1]Hugst!$R$4:$W$4,0))))</f>
        <v>0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*VLOOKUP(A174,Skovbrug!$A$13:$D$17,IF('Skovbrug-alder'!C174&lt;=År2,3,4),FALSE)-IF(C174&gt;2020,SUM(INDEX($C$1:$D$311,MATCH(1,(2020=$C$1:$C$311)*(B174=$B$1:$B$311)*(A174=$A$1:$A$311),0),2):D173),0))</f>
        <v>0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8">
        <f ca="1">IF($C174-G$1&lt;År1,0,F173*(1-VLOOKUP($A174,[1]Hugst!$R$5:$W$9,MATCH(ROUNDUP((G$1)/10,0)*10,[1]Hugst!$R$4:$W$4,0))))</f>
        <v>0</v>
      </c>
      <c r="H174" s="168">
        <f ca="1">IF($C174-H$1&lt;År1,0,G173*(1-VLOOKUP($A174,[1]Hugst!$R$5:$W$9,MATCH(ROUNDUP((H$1)/10,0)*10,[1]Hugst!$R$4:$W$4,0))))</f>
        <v>0</v>
      </c>
      <c r="I174" s="168">
        <f ca="1">IF($C174-I$1&lt;År1,0,H173*(1-VLOOKUP($A174,[1]Hugst!$R$5:$W$9,MATCH(ROUNDUP((I$1)/10,0)*10,[1]Hugst!$R$4:$W$4,0))))</f>
        <v>0</v>
      </c>
      <c r="J174" s="168">
        <f ca="1">IF($C174-J$1&lt;År1,0,I173*(1-VLOOKUP($A174,[1]Hugst!$R$5:$W$9,MATCH(ROUNDUP((J$1)/10,0)*10,[1]Hugst!$R$4:$W$4,0))))</f>
        <v>0</v>
      </c>
      <c r="K174" s="168">
        <f ca="1">IF($C174-K$1&lt;År1,0,J173*(1-VLOOKUP($A174,[1]Hugst!$R$5:$W$9,MATCH(ROUNDUP((K$1)/10,0)*10,[1]Hugst!$R$4:$W$4,0))))</f>
        <v>0</v>
      </c>
      <c r="L174" s="168">
        <f ca="1">IF($C174-L$1&lt;År1,0,K173*(1-VLOOKUP($A174,[1]Hugst!$R$5:$W$9,MATCH(ROUNDUP((L$1)/10,0)*10,[1]Hugst!$R$4:$W$4,0))))</f>
        <v>0</v>
      </c>
      <c r="M174" s="168">
        <f ca="1">IF($C174-M$1&lt;År1,0,L173*(1-VLOOKUP($A174,[1]Hugst!$R$5:$W$9,MATCH(ROUNDUP((M$1)/10,0)*10,[1]Hugst!$R$4:$W$4,0))))</f>
        <v>0</v>
      </c>
      <c r="N174" s="168">
        <f ca="1">IF($C174-N$1&lt;År1,0,M173*(1-VLOOKUP($A174,[1]Hugst!$R$5:$W$9,MATCH(ROUNDUP((N$1)/10,0)*10,[1]Hugst!$R$4:$W$4,0))))</f>
        <v>0</v>
      </c>
      <c r="O174" s="168">
        <f ca="1">IF($C174-O$1&lt;År1,0,N173*(1-VLOOKUP($A174,[1]Hugst!$R$5:$W$9,MATCH(ROUNDUP((O$1)/10,0)*10,[1]Hugst!$R$4:$W$4,0))))</f>
        <v>0</v>
      </c>
      <c r="P174" s="168">
        <f ca="1">IF($C174-P$1&lt;År1,0,O173*(1-VLOOKUP($A174,[1]Hugst!$R$5:$W$9,MATCH(ROUNDUP((P$1)/10,0)*10,[1]Hugst!$R$4:$W$4,0))))</f>
        <v>0</v>
      </c>
      <c r="Q174" s="168">
        <f ca="1">IF($C174-Q$1&lt;År1,0,P173*(1-VLOOKUP($A174,[1]Hugst!$R$5:$W$9,MATCH(ROUNDUP((Q$1)/10,0)*10,[1]Hugst!$R$4:$W$4,0))))</f>
        <v>0</v>
      </c>
      <c r="R174" s="168">
        <f ca="1">IF($C174-R$1&lt;År1,0,Q173*(1-VLOOKUP($A174,[1]Hugst!$R$5:$W$9,MATCH(ROUNDUP((R$1)/10,0)*10,[1]Hugst!$R$4:$W$4,0))))</f>
        <v>0</v>
      </c>
      <c r="S174" s="168">
        <f ca="1">IF($C174-S$1&lt;År1,0,R173*(1-VLOOKUP($A174,[1]Hugst!$R$5:$W$9,MATCH(ROUNDUP((S$1)/10,0)*10,[1]Hugst!$R$4:$W$4,0))))</f>
        <v>0</v>
      </c>
      <c r="T174" s="168">
        <f ca="1">IF($C174-T$1&lt;År1,0,S173*(1-VLOOKUP($A174,[1]Hugst!$R$5:$W$9,MATCH(ROUNDUP((T$1)/10,0)*10,[1]Hugst!$R$4:$W$4,0))))</f>
        <v>0</v>
      </c>
      <c r="U174" s="168">
        <f ca="1">IF($C174-U$1&lt;År1,0,T173*(1-VLOOKUP($A174,[1]Hugst!$R$5:$W$9,MATCH(ROUNDUP((U$1)/10,0)*10,[1]Hugst!$R$4:$W$4,0))))</f>
        <v>0</v>
      </c>
      <c r="V174" s="168">
        <f ca="1">IF($C174-V$1&lt;År1,0,U173*(1-VLOOKUP($A174,[1]Hugst!$R$5:$W$9,MATCH(ROUNDUP((V$1)/10,0)*10,[1]Hugst!$R$4:$W$4,0))))</f>
        <v>0</v>
      </c>
      <c r="W174" s="168">
        <f ca="1">IF($C174-W$1&lt;År1,0,V173*(1-VLOOKUP($A174,[1]Hugst!$R$5:$W$9,MATCH(ROUNDUP((W$1)/10,0)*10,[1]Hugst!$R$4:$W$4,0))))</f>
        <v>0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*VLOOKUP(A175,Skovbrug!$A$13:$D$17,IF('Skovbrug-alder'!C175&lt;=År2,3,4),FALSE)-IF(C175&gt;2020,SUM(INDEX($C$1:$D$311,MATCH(1,(2020=$C$1:$C$311)*(B175=$B$1:$B$311)*(A175=$A$1:$A$311),0),2):D174),0))</f>
        <v>0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8">
        <f ca="1">IF($C175-G$1&lt;År1,0,F174*(1-VLOOKUP($A175,[1]Hugst!$R$5:$W$9,MATCH(ROUNDUP((G$1)/10,0)*10,[1]Hugst!$R$4:$W$4,0))))</f>
        <v>0</v>
      </c>
      <c r="H175" s="168">
        <f ca="1">IF($C175-H$1&lt;År1,0,G174*(1-VLOOKUP($A175,[1]Hugst!$R$5:$W$9,MATCH(ROUNDUP((H$1)/10,0)*10,[1]Hugst!$R$4:$W$4,0))))</f>
        <v>0</v>
      </c>
      <c r="I175" s="168">
        <f ca="1">IF($C175-I$1&lt;År1,0,H174*(1-VLOOKUP($A175,[1]Hugst!$R$5:$W$9,MATCH(ROUNDUP((I$1)/10,0)*10,[1]Hugst!$R$4:$W$4,0))))</f>
        <v>0</v>
      </c>
      <c r="J175" s="168">
        <f ca="1">IF($C175-J$1&lt;År1,0,I174*(1-VLOOKUP($A175,[1]Hugst!$R$5:$W$9,MATCH(ROUNDUP((J$1)/10,0)*10,[1]Hugst!$R$4:$W$4,0))))</f>
        <v>0</v>
      </c>
      <c r="K175" s="168">
        <f ca="1">IF($C175-K$1&lt;År1,0,J174*(1-VLOOKUP($A175,[1]Hugst!$R$5:$W$9,MATCH(ROUNDUP((K$1)/10,0)*10,[1]Hugst!$R$4:$W$4,0))))</f>
        <v>0</v>
      </c>
      <c r="L175" s="168">
        <f ca="1">IF($C175-L$1&lt;År1,0,K174*(1-VLOOKUP($A175,[1]Hugst!$R$5:$W$9,MATCH(ROUNDUP((L$1)/10,0)*10,[1]Hugst!$R$4:$W$4,0))))</f>
        <v>0</v>
      </c>
      <c r="M175" s="168">
        <f ca="1">IF($C175-M$1&lt;År1,0,L174*(1-VLOOKUP($A175,[1]Hugst!$R$5:$W$9,MATCH(ROUNDUP((M$1)/10,0)*10,[1]Hugst!$R$4:$W$4,0))))</f>
        <v>0</v>
      </c>
      <c r="N175" s="168">
        <f ca="1">IF($C175-N$1&lt;År1,0,M174*(1-VLOOKUP($A175,[1]Hugst!$R$5:$W$9,MATCH(ROUNDUP((N$1)/10,0)*10,[1]Hugst!$R$4:$W$4,0))))</f>
        <v>0</v>
      </c>
      <c r="O175" s="168">
        <f ca="1">IF($C175-O$1&lt;År1,0,N174*(1-VLOOKUP($A175,[1]Hugst!$R$5:$W$9,MATCH(ROUNDUP((O$1)/10,0)*10,[1]Hugst!$R$4:$W$4,0))))</f>
        <v>0</v>
      </c>
      <c r="P175" s="168">
        <f ca="1">IF($C175-P$1&lt;År1,0,O174*(1-VLOOKUP($A175,[1]Hugst!$R$5:$W$9,MATCH(ROUNDUP((P$1)/10,0)*10,[1]Hugst!$R$4:$W$4,0))))</f>
        <v>0</v>
      </c>
      <c r="Q175" s="168">
        <f ca="1">IF($C175-Q$1&lt;År1,0,P174*(1-VLOOKUP($A175,[1]Hugst!$R$5:$W$9,MATCH(ROUNDUP((Q$1)/10,0)*10,[1]Hugst!$R$4:$W$4,0))))</f>
        <v>0</v>
      </c>
      <c r="R175" s="168">
        <f ca="1">IF($C175-R$1&lt;År1,0,Q174*(1-VLOOKUP($A175,[1]Hugst!$R$5:$W$9,MATCH(ROUNDUP((R$1)/10,0)*10,[1]Hugst!$R$4:$W$4,0))))</f>
        <v>0</v>
      </c>
      <c r="S175" s="168">
        <f ca="1">IF($C175-S$1&lt;År1,0,R174*(1-VLOOKUP($A175,[1]Hugst!$R$5:$W$9,MATCH(ROUNDUP((S$1)/10,0)*10,[1]Hugst!$R$4:$W$4,0))))</f>
        <v>0</v>
      </c>
      <c r="T175" s="168">
        <f ca="1">IF($C175-T$1&lt;År1,0,S174*(1-VLOOKUP($A175,[1]Hugst!$R$5:$W$9,MATCH(ROUNDUP((T$1)/10,0)*10,[1]Hugst!$R$4:$W$4,0))))</f>
        <v>0</v>
      </c>
      <c r="U175" s="168">
        <f ca="1">IF($C175-U$1&lt;År1,0,T174*(1-VLOOKUP($A175,[1]Hugst!$R$5:$W$9,MATCH(ROUNDUP((U$1)/10,0)*10,[1]Hugst!$R$4:$W$4,0))))</f>
        <v>0</v>
      </c>
      <c r="V175" s="168">
        <f ca="1">IF($C175-V$1&lt;År1,0,U174*(1-VLOOKUP($A175,[1]Hugst!$R$5:$W$9,MATCH(ROUNDUP((V$1)/10,0)*10,[1]Hugst!$R$4:$W$4,0))))</f>
        <v>0</v>
      </c>
      <c r="W175" s="168">
        <f ca="1">IF($C175-W$1&lt;År1,0,V174*(1-VLOOKUP($A175,[1]Hugst!$R$5:$W$9,MATCH(ROUNDUP((W$1)/10,0)*10,[1]Hugst!$R$4:$W$4,0))))</f>
        <v>0</v>
      </c>
      <c r="X175" s="168">
        <f ca="1">IF($C175-X$1&lt;År1,0,W174*(1-VLOOKUP($A175,[1]Hugst!$R$5:$W$9,MATCH(ROUNDUP((X$1)/10,0)*10,[1]Hugst!$R$4:$W$4,0))))</f>
        <v>0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*VLOOKUP(A176,Skovbrug!$A$13:$D$17,IF('Skovbrug-alder'!C176&lt;=År2,3,4),FALSE)-IF(C176&gt;2020,SUM(INDEX($C$1:$D$311,MATCH(1,(2020=$C$1:$C$311)*(B176=$B$1:$B$311)*(A176=$A$1:$A$311),0),2):D175),0))</f>
        <v>0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8">
        <f ca="1">IF($C176-G$1&lt;År1,0,F175*(1-VLOOKUP($A176,[1]Hugst!$R$5:$W$9,MATCH(ROUNDUP((G$1)/10,0)*10,[1]Hugst!$R$4:$W$4,0))))</f>
        <v>0</v>
      </c>
      <c r="H176" s="168">
        <f ca="1">IF($C176-H$1&lt;År1,0,G175*(1-VLOOKUP($A176,[1]Hugst!$R$5:$W$9,MATCH(ROUNDUP((H$1)/10,0)*10,[1]Hugst!$R$4:$W$4,0))))</f>
        <v>0</v>
      </c>
      <c r="I176" s="168">
        <f ca="1">IF($C176-I$1&lt;År1,0,H175*(1-VLOOKUP($A176,[1]Hugst!$R$5:$W$9,MATCH(ROUNDUP((I$1)/10,0)*10,[1]Hugst!$R$4:$W$4,0))))</f>
        <v>0</v>
      </c>
      <c r="J176" s="168">
        <f ca="1">IF($C176-J$1&lt;År1,0,I175*(1-VLOOKUP($A176,[1]Hugst!$R$5:$W$9,MATCH(ROUNDUP((J$1)/10,0)*10,[1]Hugst!$R$4:$W$4,0))))</f>
        <v>0</v>
      </c>
      <c r="K176" s="168">
        <f ca="1">IF($C176-K$1&lt;År1,0,J175*(1-VLOOKUP($A176,[1]Hugst!$R$5:$W$9,MATCH(ROUNDUP((K$1)/10,0)*10,[1]Hugst!$R$4:$W$4,0))))</f>
        <v>0</v>
      </c>
      <c r="L176" s="168">
        <f ca="1">IF($C176-L$1&lt;År1,0,K175*(1-VLOOKUP($A176,[1]Hugst!$R$5:$W$9,MATCH(ROUNDUP((L$1)/10,0)*10,[1]Hugst!$R$4:$W$4,0))))</f>
        <v>0</v>
      </c>
      <c r="M176" s="168">
        <f ca="1">IF($C176-M$1&lt;År1,0,L175*(1-VLOOKUP($A176,[1]Hugst!$R$5:$W$9,MATCH(ROUNDUP((M$1)/10,0)*10,[1]Hugst!$R$4:$W$4,0))))</f>
        <v>0</v>
      </c>
      <c r="N176" s="168">
        <f ca="1">IF($C176-N$1&lt;År1,0,M175*(1-VLOOKUP($A176,[1]Hugst!$R$5:$W$9,MATCH(ROUNDUP((N$1)/10,0)*10,[1]Hugst!$R$4:$W$4,0))))</f>
        <v>0</v>
      </c>
      <c r="O176" s="168">
        <f ca="1">IF($C176-O$1&lt;År1,0,N175*(1-VLOOKUP($A176,[1]Hugst!$R$5:$W$9,MATCH(ROUNDUP((O$1)/10,0)*10,[1]Hugst!$R$4:$W$4,0))))</f>
        <v>0</v>
      </c>
      <c r="P176" s="168">
        <f ca="1">IF($C176-P$1&lt;År1,0,O175*(1-VLOOKUP($A176,[1]Hugst!$R$5:$W$9,MATCH(ROUNDUP((P$1)/10,0)*10,[1]Hugst!$R$4:$W$4,0))))</f>
        <v>0</v>
      </c>
      <c r="Q176" s="168">
        <f ca="1">IF($C176-Q$1&lt;År1,0,P175*(1-VLOOKUP($A176,[1]Hugst!$R$5:$W$9,MATCH(ROUNDUP((Q$1)/10,0)*10,[1]Hugst!$R$4:$W$4,0))))</f>
        <v>0</v>
      </c>
      <c r="R176" s="168">
        <f ca="1">IF($C176-R$1&lt;År1,0,Q175*(1-VLOOKUP($A176,[1]Hugst!$R$5:$W$9,MATCH(ROUNDUP((R$1)/10,0)*10,[1]Hugst!$R$4:$W$4,0))))</f>
        <v>0</v>
      </c>
      <c r="S176" s="168">
        <f ca="1">IF($C176-S$1&lt;År1,0,R175*(1-VLOOKUP($A176,[1]Hugst!$R$5:$W$9,MATCH(ROUNDUP((S$1)/10,0)*10,[1]Hugst!$R$4:$W$4,0))))</f>
        <v>0</v>
      </c>
      <c r="T176" s="168">
        <f ca="1">IF($C176-T$1&lt;År1,0,S175*(1-VLOOKUP($A176,[1]Hugst!$R$5:$W$9,MATCH(ROUNDUP((T$1)/10,0)*10,[1]Hugst!$R$4:$W$4,0))))</f>
        <v>0</v>
      </c>
      <c r="U176" s="168">
        <f ca="1">IF($C176-U$1&lt;År1,0,T175*(1-VLOOKUP($A176,[1]Hugst!$R$5:$W$9,MATCH(ROUNDUP((U$1)/10,0)*10,[1]Hugst!$R$4:$W$4,0))))</f>
        <v>0</v>
      </c>
      <c r="V176" s="168">
        <f ca="1">IF($C176-V$1&lt;År1,0,U175*(1-VLOOKUP($A176,[1]Hugst!$R$5:$W$9,MATCH(ROUNDUP((V$1)/10,0)*10,[1]Hugst!$R$4:$W$4,0))))</f>
        <v>0</v>
      </c>
      <c r="W176" s="168">
        <f ca="1">IF($C176-W$1&lt;År1,0,V175*(1-VLOOKUP($A176,[1]Hugst!$R$5:$W$9,MATCH(ROUNDUP((W$1)/10,0)*10,[1]Hugst!$R$4:$W$4,0))))</f>
        <v>0</v>
      </c>
      <c r="X176" s="168">
        <f ca="1">IF($C176-X$1&lt;År1,0,W175*(1-VLOOKUP($A176,[1]Hugst!$R$5:$W$9,MATCH(ROUNDUP((X$1)/10,0)*10,[1]Hugst!$R$4:$W$4,0))))</f>
        <v>0</v>
      </c>
      <c r="Y176" s="168">
        <f ca="1">IF($C176-Y$1&lt;År1,0,X175*(1-VLOOKUP($A176,[1]Hugst!$R$5:$W$9,MATCH(ROUNDUP((Y$1)/10,0)*10,[1]Hugst!$R$4:$W$4,0))))</f>
        <v>0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*VLOOKUP(A177,Skovbrug!$A$13:$D$17,IF('Skovbrug-alder'!C177&lt;=År2,3,4),FALSE)-IF(C177&gt;2020,SUM(INDEX($C$1:$D$311,MATCH(1,(2020=$C$1:$C$311)*(B177=$B$1:$B$311)*(A177=$A$1:$A$311),0),2):D176),0))</f>
        <v>0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8">
        <f ca="1">IF($C177-G$1&lt;År1,0,F176*(1-VLOOKUP($A177,[1]Hugst!$R$5:$W$9,MATCH(ROUNDUP((G$1)/10,0)*10,[1]Hugst!$R$4:$W$4,0))))</f>
        <v>0</v>
      </c>
      <c r="H177" s="168">
        <f ca="1">IF($C177-H$1&lt;År1,0,G176*(1-VLOOKUP($A177,[1]Hugst!$R$5:$W$9,MATCH(ROUNDUP((H$1)/10,0)*10,[1]Hugst!$R$4:$W$4,0))))</f>
        <v>0</v>
      </c>
      <c r="I177" s="168">
        <f ca="1">IF($C177-I$1&lt;År1,0,H176*(1-VLOOKUP($A177,[1]Hugst!$R$5:$W$9,MATCH(ROUNDUP((I$1)/10,0)*10,[1]Hugst!$R$4:$W$4,0))))</f>
        <v>0</v>
      </c>
      <c r="J177" s="168">
        <f ca="1">IF($C177-J$1&lt;År1,0,I176*(1-VLOOKUP($A177,[1]Hugst!$R$5:$W$9,MATCH(ROUNDUP((J$1)/10,0)*10,[1]Hugst!$R$4:$W$4,0))))</f>
        <v>0</v>
      </c>
      <c r="K177" s="168">
        <f ca="1">IF($C177-K$1&lt;År1,0,J176*(1-VLOOKUP($A177,[1]Hugst!$R$5:$W$9,MATCH(ROUNDUP((K$1)/10,0)*10,[1]Hugst!$R$4:$W$4,0))))</f>
        <v>0</v>
      </c>
      <c r="L177" s="168">
        <f ca="1">IF($C177-L$1&lt;År1,0,K176*(1-VLOOKUP($A177,[1]Hugst!$R$5:$W$9,MATCH(ROUNDUP((L$1)/10,0)*10,[1]Hugst!$R$4:$W$4,0))))</f>
        <v>0</v>
      </c>
      <c r="M177" s="168">
        <f ca="1">IF($C177-M$1&lt;År1,0,L176*(1-VLOOKUP($A177,[1]Hugst!$R$5:$W$9,MATCH(ROUNDUP((M$1)/10,0)*10,[1]Hugst!$R$4:$W$4,0))))</f>
        <v>0</v>
      </c>
      <c r="N177" s="168">
        <f ca="1">IF($C177-N$1&lt;År1,0,M176*(1-VLOOKUP($A177,[1]Hugst!$R$5:$W$9,MATCH(ROUNDUP((N$1)/10,0)*10,[1]Hugst!$R$4:$W$4,0))))</f>
        <v>0</v>
      </c>
      <c r="O177" s="168">
        <f ca="1">IF($C177-O$1&lt;År1,0,N176*(1-VLOOKUP($A177,[1]Hugst!$R$5:$W$9,MATCH(ROUNDUP((O$1)/10,0)*10,[1]Hugst!$R$4:$W$4,0))))</f>
        <v>0</v>
      </c>
      <c r="P177" s="168">
        <f ca="1">IF($C177-P$1&lt;År1,0,O176*(1-VLOOKUP($A177,[1]Hugst!$R$5:$W$9,MATCH(ROUNDUP((P$1)/10,0)*10,[1]Hugst!$R$4:$W$4,0))))</f>
        <v>0</v>
      </c>
      <c r="Q177" s="168">
        <f ca="1">IF($C177-Q$1&lt;År1,0,P176*(1-VLOOKUP($A177,[1]Hugst!$R$5:$W$9,MATCH(ROUNDUP((Q$1)/10,0)*10,[1]Hugst!$R$4:$W$4,0))))</f>
        <v>0</v>
      </c>
      <c r="R177" s="168">
        <f ca="1">IF($C177-R$1&lt;År1,0,Q176*(1-VLOOKUP($A177,[1]Hugst!$R$5:$W$9,MATCH(ROUNDUP((R$1)/10,0)*10,[1]Hugst!$R$4:$W$4,0))))</f>
        <v>0</v>
      </c>
      <c r="S177" s="168">
        <f ca="1">IF($C177-S$1&lt;År1,0,R176*(1-VLOOKUP($A177,[1]Hugst!$R$5:$W$9,MATCH(ROUNDUP((S$1)/10,0)*10,[1]Hugst!$R$4:$W$4,0))))</f>
        <v>0</v>
      </c>
      <c r="T177" s="168">
        <f ca="1">IF($C177-T$1&lt;År1,0,S176*(1-VLOOKUP($A177,[1]Hugst!$R$5:$W$9,MATCH(ROUNDUP((T$1)/10,0)*10,[1]Hugst!$R$4:$W$4,0))))</f>
        <v>0</v>
      </c>
      <c r="U177" s="168">
        <f ca="1">IF($C177-U$1&lt;År1,0,T176*(1-VLOOKUP($A177,[1]Hugst!$R$5:$W$9,MATCH(ROUNDUP((U$1)/10,0)*10,[1]Hugst!$R$4:$W$4,0))))</f>
        <v>0</v>
      </c>
      <c r="V177" s="168">
        <f ca="1">IF($C177-V$1&lt;År1,0,U176*(1-VLOOKUP($A177,[1]Hugst!$R$5:$W$9,MATCH(ROUNDUP((V$1)/10,0)*10,[1]Hugst!$R$4:$W$4,0))))</f>
        <v>0</v>
      </c>
      <c r="W177" s="168">
        <f ca="1">IF($C177-W$1&lt;År1,0,V176*(1-VLOOKUP($A177,[1]Hugst!$R$5:$W$9,MATCH(ROUNDUP((W$1)/10,0)*10,[1]Hugst!$R$4:$W$4,0))))</f>
        <v>0</v>
      </c>
      <c r="X177" s="168">
        <f ca="1">IF($C177-X$1&lt;År1,0,W176*(1-VLOOKUP($A177,[1]Hugst!$R$5:$W$9,MATCH(ROUNDUP((X$1)/10,0)*10,[1]Hugst!$R$4:$W$4,0))))</f>
        <v>0</v>
      </c>
      <c r="Y177" s="168">
        <f ca="1">IF($C177-Y$1&lt;År1,0,X176*(1-VLOOKUP($A177,[1]Hugst!$R$5:$W$9,MATCH(ROUNDUP((Y$1)/10,0)*10,[1]Hugst!$R$4:$W$4,0))))</f>
        <v>0</v>
      </c>
      <c r="Z177" s="168">
        <f ca="1">IF($C177-Z$1&lt;År1,0,Y176*(1-VLOOKUP($A177,[1]Hugst!$R$5:$W$9,MATCH(ROUNDUP((Z$1)/10,0)*10,[1]Hugst!$R$4:$W$4,0))))</f>
        <v>0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*VLOOKUP(A178,Skovbrug!$A$13:$D$17,IF('Skovbrug-alder'!C178&lt;=År2,3,4),FALSE)-IF(C178&gt;2020,SUM(INDEX($C$1:$D$311,MATCH(1,(2020=$C$1:$C$311)*(B178=$B$1:$B$311)*(A178=$A$1:$A$311),0),2):D177),0))</f>
        <v>0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8">
        <f ca="1">IF($C178-G$1&lt;År1,0,F177*(1-VLOOKUP($A178,[1]Hugst!$R$5:$W$9,MATCH(ROUNDUP((G$1)/10,0)*10,[1]Hugst!$R$4:$W$4,0))))</f>
        <v>0</v>
      </c>
      <c r="H178" s="168">
        <f ca="1">IF($C178-H$1&lt;År1,0,G177*(1-VLOOKUP($A178,[1]Hugst!$R$5:$W$9,MATCH(ROUNDUP((H$1)/10,0)*10,[1]Hugst!$R$4:$W$4,0))))</f>
        <v>0</v>
      </c>
      <c r="I178" s="168">
        <f ca="1">IF($C178-I$1&lt;År1,0,H177*(1-VLOOKUP($A178,[1]Hugst!$R$5:$W$9,MATCH(ROUNDUP((I$1)/10,0)*10,[1]Hugst!$R$4:$W$4,0))))</f>
        <v>0</v>
      </c>
      <c r="J178" s="168">
        <f ca="1">IF($C178-J$1&lt;År1,0,I177*(1-VLOOKUP($A178,[1]Hugst!$R$5:$W$9,MATCH(ROUNDUP((J$1)/10,0)*10,[1]Hugst!$R$4:$W$4,0))))</f>
        <v>0</v>
      </c>
      <c r="K178" s="168">
        <f ca="1">IF($C178-K$1&lt;År1,0,J177*(1-VLOOKUP($A178,[1]Hugst!$R$5:$W$9,MATCH(ROUNDUP((K$1)/10,0)*10,[1]Hugst!$R$4:$W$4,0))))</f>
        <v>0</v>
      </c>
      <c r="L178" s="168">
        <f ca="1">IF($C178-L$1&lt;År1,0,K177*(1-VLOOKUP($A178,[1]Hugst!$R$5:$W$9,MATCH(ROUNDUP((L$1)/10,0)*10,[1]Hugst!$R$4:$W$4,0))))</f>
        <v>0</v>
      </c>
      <c r="M178" s="168">
        <f ca="1">IF($C178-M$1&lt;År1,0,L177*(1-VLOOKUP($A178,[1]Hugst!$R$5:$W$9,MATCH(ROUNDUP((M$1)/10,0)*10,[1]Hugst!$R$4:$W$4,0))))</f>
        <v>0</v>
      </c>
      <c r="N178" s="168">
        <f ca="1">IF($C178-N$1&lt;År1,0,M177*(1-VLOOKUP($A178,[1]Hugst!$R$5:$W$9,MATCH(ROUNDUP((N$1)/10,0)*10,[1]Hugst!$R$4:$W$4,0))))</f>
        <v>0</v>
      </c>
      <c r="O178" s="168">
        <f ca="1">IF($C178-O$1&lt;År1,0,N177*(1-VLOOKUP($A178,[1]Hugst!$R$5:$W$9,MATCH(ROUNDUP((O$1)/10,0)*10,[1]Hugst!$R$4:$W$4,0))))</f>
        <v>0</v>
      </c>
      <c r="P178" s="168">
        <f ca="1">IF($C178-P$1&lt;År1,0,O177*(1-VLOOKUP($A178,[1]Hugst!$R$5:$W$9,MATCH(ROUNDUP((P$1)/10,0)*10,[1]Hugst!$R$4:$W$4,0))))</f>
        <v>0</v>
      </c>
      <c r="Q178" s="168">
        <f ca="1">IF($C178-Q$1&lt;År1,0,P177*(1-VLOOKUP($A178,[1]Hugst!$R$5:$W$9,MATCH(ROUNDUP((Q$1)/10,0)*10,[1]Hugst!$R$4:$W$4,0))))</f>
        <v>0</v>
      </c>
      <c r="R178" s="168">
        <f ca="1">IF($C178-R$1&lt;År1,0,Q177*(1-VLOOKUP($A178,[1]Hugst!$R$5:$W$9,MATCH(ROUNDUP((R$1)/10,0)*10,[1]Hugst!$R$4:$W$4,0))))</f>
        <v>0</v>
      </c>
      <c r="S178" s="168">
        <f ca="1">IF($C178-S$1&lt;År1,0,R177*(1-VLOOKUP($A178,[1]Hugst!$R$5:$W$9,MATCH(ROUNDUP((S$1)/10,0)*10,[1]Hugst!$R$4:$W$4,0))))</f>
        <v>0</v>
      </c>
      <c r="T178" s="168">
        <f ca="1">IF($C178-T$1&lt;År1,0,S177*(1-VLOOKUP($A178,[1]Hugst!$R$5:$W$9,MATCH(ROUNDUP((T$1)/10,0)*10,[1]Hugst!$R$4:$W$4,0))))</f>
        <v>0</v>
      </c>
      <c r="U178" s="168">
        <f ca="1">IF($C178-U$1&lt;År1,0,T177*(1-VLOOKUP($A178,[1]Hugst!$R$5:$W$9,MATCH(ROUNDUP((U$1)/10,0)*10,[1]Hugst!$R$4:$W$4,0))))</f>
        <v>0</v>
      </c>
      <c r="V178" s="168">
        <f ca="1">IF($C178-V$1&lt;År1,0,U177*(1-VLOOKUP($A178,[1]Hugst!$R$5:$W$9,MATCH(ROUNDUP((V$1)/10,0)*10,[1]Hugst!$R$4:$W$4,0))))</f>
        <v>0</v>
      </c>
      <c r="W178" s="168">
        <f ca="1">IF($C178-W$1&lt;År1,0,V177*(1-VLOOKUP($A178,[1]Hugst!$R$5:$W$9,MATCH(ROUNDUP((W$1)/10,0)*10,[1]Hugst!$R$4:$W$4,0))))</f>
        <v>0</v>
      </c>
      <c r="X178" s="168">
        <f ca="1">IF($C178-X$1&lt;År1,0,W177*(1-VLOOKUP($A178,[1]Hugst!$R$5:$W$9,MATCH(ROUNDUP((X$1)/10,0)*10,[1]Hugst!$R$4:$W$4,0))))</f>
        <v>0</v>
      </c>
      <c r="Y178" s="168">
        <f ca="1">IF($C178-Y$1&lt;År1,0,X177*(1-VLOOKUP($A178,[1]Hugst!$R$5:$W$9,MATCH(ROUNDUP((Y$1)/10,0)*10,[1]Hugst!$R$4:$W$4,0))))</f>
        <v>0</v>
      </c>
      <c r="Z178" s="168">
        <f ca="1">IF($C178-Z$1&lt;År1,0,Y177*(1-VLOOKUP($A178,[1]Hugst!$R$5:$W$9,MATCH(ROUNDUP((Z$1)/10,0)*10,[1]Hugst!$R$4:$W$4,0))))</f>
        <v>0</v>
      </c>
      <c r="AA178" s="168">
        <f ca="1">IF($C178-AA$1&lt;År1,0,Z177*(1-VLOOKUP($A178,[1]Hugst!$R$5:$W$9,MATCH(ROUNDUP((AA$1)/10,0)*10,[1]Hugst!$R$4:$W$4,0))))</f>
        <v>0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*VLOOKUP(A179,Skovbrug!$A$13:$D$17,IF('Skovbrug-alder'!C179&lt;=År2,3,4),FALSE)-IF(C179&gt;2020,SUM(INDEX($C$1:$D$311,MATCH(1,(2020=$C$1:$C$311)*(B179=$B$1:$B$311)*(A179=$A$1:$A$311),0),2):D178),0))</f>
        <v>0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8">
        <f ca="1">IF($C179-G$1&lt;År1,0,F178*(1-VLOOKUP($A179,[1]Hugst!$R$5:$W$9,MATCH(ROUNDUP((G$1)/10,0)*10,[1]Hugst!$R$4:$W$4,0))))</f>
        <v>0</v>
      </c>
      <c r="H179" s="168">
        <f ca="1">IF($C179-H$1&lt;År1,0,G178*(1-VLOOKUP($A179,[1]Hugst!$R$5:$W$9,MATCH(ROUNDUP((H$1)/10,0)*10,[1]Hugst!$R$4:$W$4,0))))</f>
        <v>0</v>
      </c>
      <c r="I179" s="168">
        <f ca="1">IF($C179-I$1&lt;År1,0,H178*(1-VLOOKUP($A179,[1]Hugst!$R$5:$W$9,MATCH(ROUNDUP((I$1)/10,0)*10,[1]Hugst!$R$4:$W$4,0))))</f>
        <v>0</v>
      </c>
      <c r="J179" s="168">
        <f ca="1">IF($C179-J$1&lt;År1,0,I178*(1-VLOOKUP($A179,[1]Hugst!$R$5:$W$9,MATCH(ROUNDUP((J$1)/10,0)*10,[1]Hugst!$R$4:$W$4,0))))</f>
        <v>0</v>
      </c>
      <c r="K179" s="168">
        <f ca="1">IF($C179-K$1&lt;År1,0,J178*(1-VLOOKUP($A179,[1]Hugst!$R$5:$W$9,MATCH(ROUNDUP((K$1)/10,0)*10,[1]Hugst!$R$4:$W$4,0))))</f>
        <v>0</v>
      </c>
      <c r="L179" s="168">
        <f ca="1">IF($C179-L$1&lt;År1,0,K178*(1-VLOOKUP($A179,[1]Hugst!$R$5:$W$9,MATCH(ROUNDUP((L$1)/10,0)*10,[1]Hugst!$R$4:$W$4,0))))</f>
        <v>0</v>
      </c>
      <c r="M179" s="168">
        <f ca="1">IF($C179-M$1&lt;År1,0,L178*(1-VLOOKUP($A179,[1]Hugst!$R$5:$W$9,MATCH(ROUNDUP((M$1)/10,0)*10,[1]Hugst!$R$4:$W$4,0))))</f>
        <v>0</v>
      </c>
      <c r="N179" s="168">
        <f ca="1">IF($C179-N$1&lt;År1,0,M178*(1-VLOOKUP($A179,[1]Hugst!$R$5:$W$9,MATCH(ROUNDUP((N$1)/10,0)*10,[1]Hugst!$R$4:$W$4,0))))</f>
        <v>0</v>
      </c>
      <c r="O179" s="168">
        <f ca="1">IF($C179-O$1&lt;År1,0,N178*(1-VLOOKUP($A179,[1]Hugst!$R$5:$W$9,MATCH(ROUNDUP((O$1)/10,0)*10,[1]Hugst!$R$4:$W$4,0))))</f>
        <v>0</v>
      </c>
      <c r="P179" s="168">
        <f ca="1">IF($C179-P$1&lt;År1,0,O178*(1-VLOOKUP($A179,[1]Hugst!$R$5:$W$9,MATCH(ROUNDUP((P$1)/10,0)*10,[1]Hugst!$R$4:$W$4,0))))</f>
        <v>0</v>
      </c>
      <c r="Q179" s="168">
        <f ca="1">IF($C179-Q$1&lt;År1,0,P178*(1-VLOOKUP($A179,[1]Hugst!$R$5:$W$9,MATCH(ROUNDUP((Q$1)/10,0)*10,[1]Hugst!$R$4:$W$4,0))))</f>
        <v>0</v>
      </c>
      <c r="R179" s="168">
        <f ca="1">IF($C179-R$1&lt;År1,0,Q178*(1-VLOOKUP($A179,[1]Hugst!$R$5:$W$9,MATCH(ROUNDUP((R$1)/10,0)*10,[1]Hugst!$R$4:$W$4,0))))</f>
        <v>0</v>
      </c>
      <c r="S179" s="168">
        <f ca="1">IF($C179-S$1&lt;År1,0,R178*(1-VLOOKUP($A179,[1]Hugst!$R$5:$W$9,MATCH(ROUNDUP((S$1)/10,0)*10,[1]Hugst!$R$4:$W$4,0))))</f>
        <v>0</v>
      </c>
      <c r="T179" s="168">
        <f ca="1">IF($C179-T$1&lt;År1,0,S178*(1-VLOOKUP($A179,[1]Hugst!$R$5:$W$9,MATCH(ROUNDUP((T$1)/10,0)*10,[1]Hugst!$R$4:$W$4,0))))</f>
        <v>0</v>
      </c>
      <c r="U179" s="168">
        <f ca="1">IF($C179-U$1&lt;År1,0,T178*(1-VLOOKUP($A179,[1]Hugst!$R$5:$W$9,MATCH(ROUNDUP((U$1)/10,0)*10,[1]Hugst!$R$4:$W$4,0))))</f>
        <v>0</v>
      </c>
      <c r="V179" s="168">
        <f ca="1">IF($C179-V$1&lt;År1,0,U178*(1-VLOOKUP($A179,[1]Hugst!$R$5:$W$9,MATCH(ROUNDUP((V$1)/10,0)*10,[1]Hugst!$R$4:$W$4,0))))</f>
        <v>0</v>
      </c>
      <c r="W179" s="168">
        <f ca="1">IF($C179-W$1&lt;År1,0,V178*(1-VLOOKUP($A179,[1]Hugst!$R$5:$W$9,MATCH(ROUNDUP((W$1)/10,0)*10,[1]Hugst!$R$4:$W$4,0))))</f>
        <v>0</v>
      </c>
      <c r="X179" s="168">
        <f ca="1">IF($C179-X$1&lt;År1,0,W178*(1-VLOOKUP($A179,[1]Hugst!$R$5:$W$9,MATCH(ROUNDUP((X$1)/10,0)*10,[1]Hugst!$R$4:$W$4,0))))</f>
        <v>0</v>
      </c>
      <c r="Y179" s="168">
        <f ca="1">IF($C179-Y$1&lt;År1,0,X178*(1-VLOOKUP($A179,[1]Hugst!$R$5:$W$9,MATCH(ROUNDUP((Y$1)/10,0)*10,[1]Hugst!$R$4:$W$4,0))))</f>
        <v>0</v>
      </c>
      <c r="Z179" s="168">
        <f ca="1">IF($C179-Z$1&lt;År1,0,Y178*(1-VLOOKUP($A179,[1]Hugst!$R$5:$W$9,MATCH(ROUNDUP((Z$1)/10,0)*10,[1]Hugst!$R$4:$W$4,0))))</f>
        <v>0</v>
      </c>
      <c r="AA179" s="168">
        <f ca="1">IF($C179-AA$1&lt;År1,0,Z178*(1-VLOOKUP($A179,[1]Hugst!$R$5:$W$9,MATCH(ROUNDUP((AA$1)/10,0)*10,[1]Hugst!$R$4:$W$4,0))))</f>
        <v>0</v>
      </c>
      <c r="AB179" s="168">
        <f ca="1">IF($C179-AB$1&lt;År1,0,AA178*(1-VLOOKUP($A179,[1]Hugst!$R$5:$W$9,MATCH(ROUNDUP((AB$1)/10,0)*10,[1]Hugst!$R$4:$W$4,0))))</f>
        <v>0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*VLOOKUP(A180,Skovbrug!$A$13:$D$17,IF('Skovbrug-alder'!C180&lt;=År2,3,4),FALSE)-IF(C180&gt;2020,SUM(INDEX($C$1:$D$311,MATCH(1,(2020=$C$1:$C$311)*(B180=$B$1:$B$311)*(A180=$A$1:$A$311),0),2):D179),0))</f>
        <v>0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8">
        <f ca="1">IF($C180-G$1&lt;År1,0,F179*(1-VLOOKUP($A180,[1]Hugst!$R$5:$W$9,MATCH(ROUNDUP((G$1)/10,0)*10,[1]Hugst!$R$4:$W$4,0))))</f>
        <v>0</v>
      </c>
      <c r="H180" s="168">
        <f ca="1">IF($C180-H$1&lt;År1,0,G179*(1-VLOOKUP($A180,[1]Hugst!$R$5:$W$9,MATCH(ROUNDUP((H$1)/10,0)*10,[1]Hugst!$R$4:$W$4,0))))</f>
        <v>0</v>
      </c>
      <c r="I180" s="168">
        <f ca="1">IF($C180-I$1&lt;År1,0,H179*(1-VLOOKUP($A180,[1]Hugst!$R$5:$W$9,MATCH(ROUNDUP((I$1)/10,0)*10,[1]Hugst!$R$4:$W$4,0))))</f>
        <v>0</v>
      </c>
      <c r="J180" s="168">
        <f ca="1">IF($C180-J$1&lt;År1,0,I179*(1-VLOOKUP($A180,[1]Hugst!$R$5:$W$9,MATCH(ROUNDUP((J$1)/10,0)*10,[1]Hugst!$R$4:$W$4,0))))</f>
        <v>0</v>
      </c>
      <c r="K180" s="168">
        <f ca="1">IF($C180-K$1&lt;År1,0,J179*(1-VLOOKUP($A180,[1]Hugst!$R$5:$W$9,MATCH(ROUNDUP((K$1)/10,0)*10,[1]Hugst!$R$4:$W$4,0))))</f>
        <v>0</v>
      </c>
      <c r="L180" s="168">
        <f ca="1">IF($C180-L$1&lt;År1,0,K179*(1-VLOOKUP($A180,[1]Hugst!$R$5:$W$9,MATCH(ROUNDUP((L$1)/10,0)*10,[1]Hugst!$R$4:$W$4,0))))</f>
        <v>0</v>
      </c>
      <c r="M180" s="168">
        <f ca="1">IF($C180-M$1&lt;År1,0,L179*(1-VLOOKUP($A180,[1]Hugst!$R$5:$W$9,MATCH(ROUNDUP((M$1)/10,0)*10,[1]Hugst!$R$4:$W$4,0))))</f>
        <v>0</v>
      </c>
      <c r="N180" s="168">
        <f ca="1">IF($C180-N$1&lt;År1,0,M179*(1-VLOOKUP($A180,[1]Hugst!$R$5:$W$9,MATCH(ROUNDUP((N$1)/10,0)*10,[1]Hugst!$R$4:$W$4,0))))</f>
        <v>0</v>
      </c>
      <c r="O180" s="168">
        <f ca="1">IF($C180-O$1&lt;År1,0,N179*(1-VLOOKUP($A180,[1]Hugst!$R$5:$W$9,MATCH(ROUNDUP((O$1)/10,0)*10,[1]Hugst!$R$4:$W$4,0))))</f>
        <v>0</v>
      </c>
      <c r="P180" s="168">
        <f ca="1">IF($C180-P$1&lt;År1,0,O179*(1-VLOOKUP($A180,[1]Hugst!$R$5:$W$9,MATCH(ROUNDUP((P$1)/10,0)*10,[1]Hugst!$R$4:$W$4,0))))</f>
        <v>0</v>
      </c>
      <c r="Q180" s="168">
        <f ca="1">IF($C180-Q$1&lt;År1,0,P179*(1-VLOOKUP($A180,[1]Hugst!$R$5:$W$9,MATCH(ROUNDUP((Q$1)/10,0)*10,[1]Hugst!$R$4:$W$4,0))))</f>
        <v>0</v>
      </c>
      <c r="R180" s="168">
        <f ca="1">IF($C180-R$1&lt;År1,0,Q179*(1-VLOOKUP($A180,[1]Hugst!$R$5:$W$9,MATCH(ROUNDUP((R$1)/10,0)*10,[1]Hugst!$R$4:$W$4,0))))</f>
        <v>0</v>
      </c>
      <c r="S180" s="168">
        <f ca="1">IF($C180-S$1&lt;År1,0,R179*(1-VLOOKUP($A180,[1]Hugst!$R$5:$W$9,MATCH(ROUNDUP((S$1)/10,0)*10,[1]Hugst!$R$4:$W$4,0))))</f>
        <v>0</v>
      </c>
      <c r="T180" s="168">
        <f ca="1">IF($C180-T$1&lt;År1,0,S179*(1-VLOOKUP($A180,[1]Hugst!$R$5:$W$9,MATCH(ROUNDUP((T$1)/10,0)*10,[1]Hugst!$R$4:$W$4,0))))</f>
        <v>0</v>
      </c>
      <c r="U180" s="168">
        <f ca="1">IF($C180-U$1&lt;År1,0,T179*(1-VLOOKUP($A180,[1]Hugst!$R$5:$W$9,MATCH(ROUNDUP((U$1)/10,0)*10,[1]Hugst!$R$4:$W$4,0))))</f>
        <v>0</v>
      </c>
      <c r="V180" s="168">
        <f ca="1">IF($C180-V$1&lt;År1,0,U179*(1-VLOOKUP($A180,[1]Hugst!$R$5:$W$9,MATCH(ROUNDUP((V$1)/10,0)*10,[1]Hugst!$R$4:$W$4,0))))</f>
        <v>0</v>
      </c>
      <c r="W180" s="168">
        <f ca="1">IF($C180-W$1&lt;År1,0,V179*(1-VLOOKUP($A180,[1]Hugst!$R$5:$W$9,MATCH(ROUNDUP((W$1)/10,0)*10,[1]Hugst!$R$4:$W$4,0))))</f>
        <v>0</v>
      </c>
      <c r="X180" s="168">
        <f ca="1">IF($C180-X$1&lt;År1,0,W179*(1-VLOOKUP($A180,[1]Hugst!$R$5:$W$9,MATCH(ROUNDUP((X$1)/10,0)*10,[1]Hugst!$R$4:$W$4,0))))</f>
        <v>0</v>
      </c>
      <c r="Y180" s="168">
        <f ca="1">IF($C180-Y$1&lt;År1,0,X179*(1-VLOOKUP($A180,[1]Hugst!$R$5:$W$9,MATCH(ROUNDUP((Y$1)/10,0)*10,[1]Hugst!$R$4:$W$4,0))))</f>
        <v>0</v>
      </c>
      <c r="Z180" s="168">
        <f ca="1">IF($C180-Z$1&lt;År1,0,Y179*(1-VLOOKUP($A180,[1]Hugst!$R$5:$W$9,MATCH(ROUNDUP((Z$1)/10,0)*10,[1]Hugst!$R$4:$W$4,0))))</f>
        <v>0</v>
      </c>
      <c r="AA180" s="168">
        <f ca="1">IF($C180-AA$1&lt;År1,0,Z179*(1-VLOOKUP($A180,[1]Hugst!$R$5:$W$9,MATCH(ROUNDUP((AA$1)/10,0)*10,[1]Hugst!$R$4:$W$4,0))))</f>
        <v>0</v>
      </c>
      <c r="AB180" s="168">
        <f ca="1">IF($C180-AB$1&lt;År1,0,AA179*(1-VLOOKUP($A180,[1]Hugst!$R$5:$W$9,MATCH(ROUNDUP((AB$1)/10,0)*10,[1]Hugst!$R$4:$W$4,0))))</f>
        <v>0</v>
      </c>
      <c r="AC180" s="168">
        <f ca="1">IF($C180-AC$1&lt;År1,0,AB179*(1-VLOOKUP($A180,[1]Hugst!$R$5:$W$9,MATCH(ROUNDUP((AC$1)/10,0)*10,[1]Hugst!$R$4:$W$4,0))))</f>
        <v>0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*VLOOKUP(A181,Skovbrug!$A$13:$D$17,IF('Skovbrug-alder'!C181&lt;=År2,3,4),FALSE)-IF(C181&gt;2020,SUM(INDEX($C$1:$D$311,MATCH(1,(2020=$C$1:$C$311)*(B181=$B$1:$B$311)*(A181=$A$1:$A$311),0),2):D180),0))</f>
        <v>0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8">
        <f ca="1">IF($C181-G$1&lt;År1,0,F180*(1-VLOOKUP($A181,[1]Hugst!$R$5:$W$9,MATCH(ROUNDUP((G$1)/10,0)*10,[1]Hugst!$R$4:$W$4,0))))</f>
        <v>0</v>
      </c>
      <c r="H181" s="168">
        <f ca="1">IF($C181-H$1&lt;År1,0,G180*(1-VLOOKUP($A181,[1]Hugst!$R$5:$W$9,MATCH(ROUNDUP((H$1)/10,0)*10,[1]Hugst!$R$4:$W$4,0))))</f>
        <v>0</v>
      </c>
      <c r="I181" s="168">
        <f ca="1">IF($C181-I$1&lt;År1,0,H180*(1-VLOOKUP($A181,[1]Hugst!$R$5:$W$9,MATCH(ROUNDUP((I$1)/10,0)*10,[1]Hugst!$R$4:$W$4,0))))</f>
        <v>0</v>
      </c>
      <c r="J181" s="168">
        <f ca="1">IF($C181-J$1&lt;År1,0,I180*(1-VLOOKUP($A181,[1]Hugst!$R$5:$W$9,MATCH(ROUNDUP((J$1)/10,0)*10,[1]Hugst!$R$4:$W$4,0))))</f>
        <v>0</v>
      </c>
      <c r="K181" s="168">
        <f ca="1">IF($C181-K$1&lt;År1,0,J180*(1-VLOOKUP($A181,[1]Hugst!$R$5:$W$9,MATCH(ROUNDUP((K$1)/10,0)*10,[1]Hugst!$R$4:$W$4,0))))</f>
        <v>0</v>
      </c>
      <c r="L181" s="168">
        <f ca="1">IF($C181-L$1&lt;År1,0,K180*(1-VLOOKUP($A181,[1]Hugst!$R$5:$W$9,MATCH(ROUNDUP((L$1)/10,0)*10,[1]Hugst!$R$4:$W$4,0))))</f>
        <v>0</v>
      </c>
      <c r="M181" s="168">
        <f ca="1">IF($C181-M$1&lt;År1,0,L180*(1-VLOOKUP($A181,[1]Hugst!$R$5:$W$9,MATCH(ROUNDUP((M$1)/10,0)*10,[1]Hugst!$R$4:$W$4,0))))</f>
        <v>0</v>
      </c>
      <c r="N181" s="168">
        <f ca="1">IF($C181-N$1&lt;År1,0,M180*(1-VLOOKUP($A181,[1]Hugst!$R$5:$W$9,MATCH(ROUNDUP((N$1)/10,0)*10,[1]Hugst!$R$4:$W$4,0))))</f>
        <v>0</v>
      </c>
      <c r="O181" s="168">
        <f ca="1">IF($C181-O$1&lt;År1,0,N180*(1-VLOOKUP($A181,[1]Hugst!$R$5:$W$9,MATCH(ROUNDUP((O$1)/10,0)*10,[1]Hugst!$R$4:$W$4,0))))</f>
        <v>0</v>
      </c>
      <c r="P181" s="168">
        <f ca="1">IF($C181-P$1&lt;År1,0,O180*(1-VLOOKUP($A181,[1]Hugst!$R$5:$W$9,MATCH(ROUNDUP((P$1)/10,0)*10,[1]Hugst!$R$4:$W$4,0))))</f>
        <v>0</v>
      </c>
      <c r="Q181" s="168">
        <f ca="1">IF($C181-Q$1&lt;År1,0,P180*(1-VLOOKUP($A181,[1]Hugst!$R$5:$W$9,MATCH(ROUNDUP((Q$1)/10,0)*10,[1]Hugst!$R$4:$W$4,0))))</f>
        <v>0</v>
      </c>
      <c r="R181" s="168">
        <f ca="1">IF($C181-R$1&lt;År1,0,Q180*(1-VLOOKUP($A181,[1]Hugst!$R$5:$W$9,MATCH(ROUNDUP((R$1)/10,0)*10,[1]Hugst!$R$4:$W$4,0))))</f>
        <v>0</v>
      </c>
      <c r="S181" s="168">
        <f ca="1">IF($C181-S$1&lt;År1,0,R180*(1-VLOOKUP($A181,[1]Hugst!$R$5:$W$9,MATCH(ROUNDUP((S$1)/10,0)*10,[1]Hugst!$R$4:$W$4,0))))</f>
        <v>0</v>
      </c>
      <c r="T181" s="168">
        <f ca="1">IF($C181-T$1&lt;År1,0,S180*(1-VLOOKUP($A181,[1]Hugst!$R$5:$W$9,MATCH(ROUNDUP((T$1)/10,0)*10,[1]Hugst!$R$4:$W$4,0))))</f>
        <v>0</v>
      </c>
      <c r="U181" s="168">
        <f ca="1">IF($C181-U$1&lt;År1,0,T180*(1-VLOOKUP($A181,[1]Hugst!$R$5:$W$9,MATCH(ROUNDUP((U$1)/10,0)*10,[1]Hugst!$R$4:$W$4,0))))</f>
        <v>0</v>
      </c>
      <c r="V181" s="168">
        <f ca="1">IF($C181-V$1&lt;År1,0,U180*(1-VLOOKUP($A181,[1]Hugst!$R$5:$W$9,MATCH(ROUNDUP((V$1)/10,0)*10,[1]Hugst!$R$4:$W$4,0))))</f>
        <v>0</v>
      </c>
      <c r="W181" s="168">
        <f ca="1">IF($C181-W$1&lt;År1,0,V180*(1-VLOOKUP($A181,[1]Hugst!$R$5:$W$9,MATCH(ROUNDUP((W$1)/10,0)*10,[1]Hugst!$R$4:$W$4,0))))</f>
        <v>0</v>
      </c>
      <c r="X181" s="168">
        <f ca="1">IF($C181-X$1&lt;År1,0,W180*(1-VLOOKUP($A181,[1]Hugst!$R$5:$W$9,MATCH(ROUNDUP((X$1)/10,0)*10,[1]Hugst!$R$4:$W$4,0))))</f>
        <v>0</v>
      </c>
      <c r="Y181" s="168">
        <f ca="1">IF($C181-Y$1&lt;År1,0,X180*(1-VLOOKUP($A181,[1]Hugst!$R$5:$W$9,MATCH(ROUNDUP((Y$1)/10,0)*10,[1]Hugst!$R$4:$W$4,0))))</f>
        <v>0</v>
      </c>
      <c r="Z181" s="168">
        <f ca="1">IF($C181-Z$1&lt;År1,0,Y180*(1-VLOOKUP($A181,[1]Hugst!$R$5:$W$9,MATCH(ROUNDUP((Z$1)/10,0)*10,[1]Hugst!$R$4:$W$4,0))))</f>
        <v>0</v>
      </c>
      <c r="AA181" s="168">
        <f ca="1">IF($C181-AA$1&lt;År1,0,Z180*(1-VLOOKUP($A181,[1]Hugst!$R$5:$W$9,MATCH(ROUNDUP((AA$1)/10,0)*10,[1]Hugst!$R$4:$W$4,0))))</f>
        <v>0</v>
      </c>
      <c r="AB181" s="168">
        <f ca="1">IF($C181-AB$1&lt;År1,0,AA180*(1-VLOOKUP($A181,[1]Hugst!$R$5:$W$9,MATCH(ROUNDUP((AB$1)/10,0)*10,[1]Hugst!$R$4:$W$4,0))))</f>
        <v>0</v>
      </c>
      <c r="AC181" s="168">
        <f ca="1">IF($C181-AC$1&lt;År1,0,AB180*(1-VLOOKUP($A181,[1]Hugst!$R$5:$W$9,MATCH(ROUNDUP((AC$1)/10,0)*10,[1]Hugst!$R$4:$W$4,0))))</f>
        <v>0</v>
      </c>
      <c r="AD181" s="168">
        <f ca="1">IF($C181-AD$1&lt;År1,0,AC180*(1-VLOOKUP($A181,[1]Hugst!$R$5:$W$9,MATCH(ROUNDUP((AD$1)/10,0)*10,[1]Hugst!$R$4:$W$4,0))))</f>
        <v>0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*VLOOKUP(A182,Skovbrug!$A$13:$D$17,IF('Skovbrug-alder'!C182&lt;=År2,3,4),FALSE)-IF(C182&gt;2020,SUM(INDEX($C$1:$D$311,MATCH(1,(2020=$C$1:$C$311)*(B182=$B$1:$B$311)*(A182=$A$1:$A$311),0),2):D181),0))</f>
        <v>0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8">
        <f ca="1">IF($C182-G$1&lt;År1,0,F181*(1-VLOOKUP($A182,[1]Hugst!$R$5:$W$9,MATCH(ROUNDUP((G$1)/10,0)*10,[1]Hugst!$R$4:$W$4,0))))</f>
        <v>0</v>
      </c>
      <c r="H182" s="168">
        <f ca="1">IF($C182-H$1&lt;År1,0,G181*(1-VLOOKUP($A182,[1]Hugst!$R$5:$W$9,MATCH(ROUNDUP((H$1)/10,0)*10,[1]Hugst!$R$4:$W$4,0))))</f>
        <v>0</v>
      </c>
      <c r="I182" s="168">
        <f ca="1">IF($C182-I$1&lt;År1,0,H181*(1-VLOOKUP($A182,[1]Hugst!$R$5:$W$9,MATCH(ROUNDUP((I$1)/10,0)*10,[1]Hugst!$R$4:$W$4,0))))</f>
        <v>0</v>
      </c>
      <c r="J182" s="168">
        <f ca="1">IF($C182-J$1&lt;År1,0,I181*(1-VLOOKUP($A182,[1]Hugst!$R$5:$W$9,MATCH(ROUNDUP((J$1)/10,0)*10,[1]Hugst!$R$4:$W$4,0))))</f>
        <v>0</v>
      </c>
      <c r="K182" s="168">
        <f ca="1">IF($C182-K$1&lt;År1,0,J181*(1-VLOOKUP($A182,[1]Hugst!$R$5:$W$9,MATCH(ROUNDUP((K$1)/10,0)*10,[1]Hugst!$R$4:$W$4,0))))</f>
        <v>0</v>
      </c>
      <c r="L182" s="168">
        <f ca="1">IF($C182-L$1&lt;År1,0,K181*(1-VLOOKUP($A182,[1]Hugst!$R$5:$W$9,MATCH(ROUNDUP((L$1)/10,0)*10,[1]Hugst!$R$4:$W$4,0))))</f>
        <v>0</v>
      </c>
      <c r="M182" s="168">
        <f ca="1">IF($C182-M$1&lt;År1,0,L181*(1-VLOOKUP($A182,[1]Hugst!$R$5:$W$9,MATCH(ROUNDUP((M$1)/10,0)*10,[1]Hugst!$R$4:$W$4,0))))</f>
        <v>0</v>
      </c>
      <c r="N182" s="168">
        <f ca="1">IF($C182-N$1&lt;År1,0,M181*(1-VLOOKUP($A182,[1]Hugst!$R$5:$W$9,MATCH(ROUNDUP((N$1)/10,0)*10,[1]Hugst!$R$4:$W$4,0))))</f>
        <v>0</v>
      </c>
      <c r="O182" s="168">
        <f ca="1">IF($C182-O$1&lt;År1,0,N181*(1-VLOOKUP($A182,[1]Hugst!$R$5:$W$9,MATCH(ROUNDUP((O$1)/10,0)*10,[1]Hugst!$R$4:$W$4,0))))</f>
        <v>0</v>
      </c>
      <c r="P182" s="168">
        <f ca="1">IF($C182-P$1&lt;År1,0,O181*(1-VLOOKUP($A182,[1]Hugst!$R$5:$W$9,MATCH(ROUNDUP((P$1)/10,0)*10,[1]Hugst!$R$4:$W$4,0))))</f>
        <v>0</v>
      </c>
      <c r="Q182" s="168">
        <f ca="1">IF($C182-Q$1&lt;År1,0,P181*(1-VLOOKUP($A182,[1]Hugst!$R$5:$W$9,MATCH(ROUNDUP((Q$1)/10,0)*10,[1]Hugst!$R$4:$W$4,0))))</f>
        <v>0</v>
      </c>
      <c r="R182" s="168">
        <f ca="1">IF($C182-R$1&lt;År1,0,Q181*(1-VLOOKUP($A182,[1]Hugst!$R$5:$W$9,MATCH(ROUNDUP((R$1)/10,0)*10,[1]Hugst!$R$4:$W$4,0))))</f>
        <v>0</v>
      </c>
      <c r="S182" s="168">
        <f ca="1">IF($C182-S$1&lt;År1,0,R181*(1-VLOOKUP($A182,[1]Hugst!$R$5:$W$9,MATCH(ROUNDUP((S$1)/10,0)*10,[1]Hugst!$R$4:$W$4,0))))</f>
        <v>0</v>
      </c>
      <c r="T182" s="168">
        <f ca="1">IF($C182-T$1&lt;År1,0,S181*(1-VLOOKUP($A182,[1]Hugst!$R$5:$W$9,MATCH(ROUNDUP((T$1)/10,0)*10,[1]Hugst!$R$4:$W$4,0))))</f>
        <v>0</v>
      </c>
      <c r="U182" s="168">
        <f ca="1">IF($C182-U$1&lt;År1,0,T181*(1-VLOOKUP($A182,[1]Hugst!$R$5:$W$9,MATCH(ROUNDUP((U$1)/10,0)*10,[1]Hugst!$R$4:$W$4,0))))</f>
        <v>0</v>
      </c>
      <c r="V182" s="168">
        <f ca="1">IF($C182-V$1&lt;År1,0,U181*(1-VLOOKUP($A182,[1]Hugst!$R$5:$W$9,MATCH(ROUNDUP((V$1)/10,0)*10,[1]Hugst!$R$4:$W$4,0))))</f>
        <v>0</v>
      </c>
      <c r="W182" s="168">
        <f ca="1">IF($C182-W$1&lt;År1,0,V181*(1-VLOOKUP($A182,[1]Hugst!$R$5:$W$9,MATCH(ROUNDUP((W$1)/10,0)*10,[1]Hugst!$R$4:$W$4,0))))</f>
        <v>0</v>
      </c>
      <c r="X182" s="168">
        <f ca="1">IF($C182-X$1&lt;År1,0,W181*(1-VLOOKUP($A182,[1]Hugst!$R$5:$W$9,MATCH(ROUNDUP((X$1)/10,0)*10,[1]Hugst!$R$4:$W$4,0))))</f>
        <v>0</v>
      </c>
      <c r="Y182" s="168">
        <f ca="1">IF($C182-Y$1&lt;År1,0,X181*(1-VLOOKUP($A182,[1]Hugst!$R$5:$W$9,MATCH(ROUNDUP((Y$1)/10,0)*10,[1]Hugst!$R$4:$W$4,0))))</f>
        <v>0</v>
      </c>
      <c r="Z182" s="168">
        <f ca="1">IF($C182-Z$1&lt;År1,0,Y181*(1-VLOOKUP($A182,[1]Hugst!$R$5:$W$9,MATCH(ROUNDUP((Z$1)/10,0)*10,[1]Hugst!$R$4:$W$4,0))))</f>
        <v>0</v>
      </c>
      <c r="AA182" s="168">
        <f ca="1">IF($C182-AA$1&lt;År1,0,Z181*(1-VLOOKUP($A182,[1]Hugst!$R$5:$W$9,MATCH(ROUNDUP((AA$1)/10,0)*10,[1]Hugst!$R$4:$W$4,0))))</f>
        <v>0</v>
      </c>
      <c r="AB182" s="168">
        <f ca="1">IF($C182-AB$1&lt;År1,0,AA181*(1-VLOOKUP($A182,[1]Hugst!$R$5:$W$9,MATCH(ROUNDUP((AB$1)/10,0)*10,[1]Hugst!$R$4:$W$4,0))))</f>
        <v>0</v>
      </c>
      <c r="AC182" s="168">
        <f ca="1">IF($C182-AC$1&lt;År1,0,AB181*(1-VLOOKUP($A182,[1]Hugst!$R$5:$W$9,MATCH(ROUNDUP((AC$1)/10,0)*10,[1]Hugst!$R$4:$W$4,0))))</f>
        <v>0</v>
      </c>
      <c r="AD182" s="168">
        <f ca="1">IF($C182-AD$1&lt;År1,0,AC181*(1-VLOOKUP($A182,[1]Hugst!$R$5:$W$9,MATCH(ROUNDUP((AD$1)/10,0)*10,[1]Hugst!$R$4:$W$4,0))))</f>
        <v>0</v>
      </c>
      <c r="AE182" s="168">
        <f ca="1">IF($C182-AE$1&lt;År1,0,AD181*(1-VLOOKUP($A182,[1]Hugst!$R$5:$W$9,MATCH(ROUNDUP((AE$1)/10,0)*10,[1]Hugst!$R$4:$W$4,0))))</f>
        <v>0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*VLOOKUP(A183,Skovbrug!$A$13:$D$17,IF('Skovbrug-alder'!C183&lt;=År2,3,4),FALSE)-IF(C183&gt;2020,SUM(INDEX($C$1:$D$311,MATCH(1,(2020=$C$1:$C$311)*(B183=$B$1:$B$311)*(A183=$A$1:$A$311),0),2):D182),0))</f>
        <v>0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8">
        <f ca="1">IF($C183-G$1&lt;År1,0,F182*(1-VLOOKUP($A183,[1]Hugst!$R$5:$W$9,MATCH(ROUNDUP((G$1)/10,0)*10,[1]Hugst!$R$4:$W$4,0))))</f>
        <v>0</v>
      </c>
      <c r="H183" s="168">
        <f ca="1">IF($C183-H$1&lt;År1,0,G182*(1-VLOOKUP($A183,[1]Hugst!$R$5:$W$9,MATCH(ROUNDUP((H$1)/10,0)*10,[1]Hugst!$R$4:$W$4,0))))</f>
        <v>0</v>
      </c>
      <c r="I183" s="168">
        <f ca="1">IF($C183-I$1&lt;År1,0,H182*(1-VLOOKUP($A183,[1]Hugst!$R$5:$W$9,MATCH(ROUNDUP((I$1)/10,0)*10,[1]Hugst!$R$4:$W$4,0))))</f>
        <v>0</v>
      </c>
      <c r="J183" s="168">
        <f ca="1">IF($C183-J$1&lt;År1,0,I182*(1-VLOOKUP($A183,[1]Hugst!$R$5:$W$9,MATCH(ROUNDUP((J$1)/10,0)*10,[1]Hugst!$R$4:$W$4,0))))</f>
        <v>0</v>
      </c>
      <c r="K183" s="168">
        <f ca="1">IF($C183-K$1&lt;År1,0,J182*(1-VLOOKUP($A183,[1]Hugst!$R$5:$W$9,MATCH(ROUNDUP((K$1)/10,0)*10,[1]Hugst!$R$4:$W$4,0))))</f>
        <v>0</v>
      </c>
      <c r="L183" s="168">
        <f ca="1">IF($C183-L$1&lt;År1,0,K182*(1-VLOOKUP($A183,[1]Hugst!$R$5:$W$9,MATCH(ROUNDUP((L$1)/10,0)*10,[1]Hugst!$R$4:$W$4,0))))</f>
        <v>0</v>
      </c>
      <c r="M183" s="168">
        <f ca="1">IF($C183-M$1&lt;År1,0,L182*(1-VLOOKUP($A183,[1]Hugst!$R$5:$W$9,MATCH(ROUNDUP((M$1)/10,0)*10,[1]Hugst!$R$4:$W$4,0))))</f>
        <v>0</v>
      </c>
      <c r="N183" s="168">
        <f ca="1">IF($C183-N$1&lt;År1,0,M182*(1-VLOOKUP($A183,[1]Hugst!$R$5:$W$9,MATCH(ROUNDUP((N$1)/10,0)*10,[1]Hugst!$R$4:$W$4,0))))</f>
        <v>0</v>
      </c>
      <c r="O183" s="168">
        <f ca="1">IF($C183-O$1&lt;År1,0,N182*(1-VLOOKUP($A183,[1]Hugst!$R$5:$W$9,MATCH(ROUNDUP((O$1)/10,0)*10,[1]Hugst!$R$4:$W$4,0))))</f>
        <v>0</v>
      </c>
      <c r="P183" s="168">
        <f ca="1">IF($C183-P$1&lt;År1,0,O182*(1-VLOOKUP($A183,[1]Hugst!$R$5:$W$9,MATCH(ROUNDUP((P$1)/10,0)*10,[1]Hugst!$R$4:$W$4,0))))</f>
        <v>0</v>
      </c>
      <c r="Q183" s="168">
        <f ca="1">IF($C183-Q$1&lt;År1,0,P182*(1-VLOOKUP($A183,[1]Hugst!$R$5:$W$9,MATCH(ROUNDUP((Q$1)/10,0)*10,[1]Hugst!$R$4:$W$4,0))))</f>
        <v>0</v>
      </c>
      <c r="R183" s="168">
        <f ca="1">IF($C183-R$1&lt;År1,0,Q182*(1-VLOOKUP($A183,[1]Hugst!$R$5:$W$9,MATCH(ROUNDUP((R$1)/10,0)*10,[1]Hugst!$R$4:$W$4,0))))</f>
        <v>0</v>
      </c>
      <c r="S183" s="168">
        <f ca="1">IF($C183-S$1&lt;År1,0,R182*(1-VLOOKUP($A183,[1]Hugst!$R$5:$W$9,MATCH(ROUNDUP((S$1)/10,0)*10,[1]Hugst!$R$4:$W$4,0))))</f>
        <v>0</v>
      </c>
      <c r="T183" s="168">
        <f ca="1">IF($C183-T$1&lt;År1,0,S182*(1-VLOOKUP($A183,[1]Hugst!$R$5:$W$9,MATCH(ROUNDUP((T$1)/10,0)*10,[1]Hugst!$R$4:$W$4,0))))</f>
        <v>0</v>
      </c>
      <c r="U183" s="168">
        <f ca="1">IF($C183-U$1&lt;År1,0,T182*(1-VLOOKUP($A183,[1]Hugst!$R$5:$W$9,MATCH(ROUNDUP((U$1)/10,0)*10,[1]Hugst!$R$4:$W$4,0))))</f>
        <v>0</v>
      </c>
      <c r="V183" s="168">
        <f ca="1">IF($C183-V$1&lt;År1,0,U182*(1-VLOOKUP($A183,[1]Hugst!$R$5:$W$9,MATCH(ROUNDUP((V$1)/10,0)*10,[1]Hugst!$R$4:$W$4,0))))</f>
        <v>0</v>
      </c>
      <c r="W183" s="168">
        <f ca="1">IF($C183-W$1&lt;År1,0,V182*(1-VLOOKUP($A183,[1]Hugst!$R$5:$W$9,MATCH(ROUNDUP((W$1)/10,0)*10,[1]Hugst!$R$4:$W$4,0))))</f>
        <v>0</v>
      </c>
      <c r="X183" s="168">
        <f ca="1">IF($C183-X$1&lt;År1,0,W182*(1-VLOOKUP($A183,[1]Hugst!$R$5:$W$9,MATCH(ROUNDUP((X$1)/10,0)*10,[1]Hugst!$R$4:$W$4,0))))</f>
        <v>0</v>
      </c>
      <c r="Y183" s="168">
        <f ca="1">IF($C183-Y$1&lt;År1,0,X182*(1-VLOOKUP($A183,[1]Hugst!$R$5:$W$9,MATCH(ROUNDUP((Y$1)/10,0)*10,[1]Hugst!$R$4:$W$4,0))))</f>
        <v>0</v>
      </c>
      <c r="Z183" s="168">
        <f ca="1">IF($C183-Z$1&lt;År1,0,Y182*(1-VLOOKUP($A183,[1]Hugst!$R$5:$W$9,MATCH(ROUNDUP((Z$1)/10,0)*10,[1]Hugst!$R$4:$W$4,0))))</f>
        <v>0</v>
      </c>
      <c r="AA183" s="168">
        <f ca="1">IF($C183-AA$1&lt;År1,0,Z182*(1-VLOOKUP($A183,[1]Hugst!$R$5:$W$9,MATCH(ROUNDUP((AA$1)/10,0)*10,[1]Hugst!$R$4:$W$4,0))))</f>
        <v>0</v>
      </c>
      <c r="AB183" s="168">
        <f ca="1">IF($C183-AB$1&lt;År1,0,AA182*(1-VLOOKUP($A183,[1]Hugst!$R$5:$W$9,MATCH(ROUNDUP((AB$1)/10,0)*10,[1]Hugst!$R$4:$W$4,0))))</f>
        <v>0</v>
      </c>
      <c r="AC183" s="168">
        <f ca="1">IF($C183-AC$1&lt;År1,0,AB182*(1-VLOOKUP($A183,[1]Hugst!$R$5:$W$9,MATCH(ROUNDUP((AC$1)/10,0)*10,[1]Hugst!$R$4:$W$4,0))))</f>
        <v>0</v>
      </c>
      <c r="AD183" s="168">
        <f ca="1">IF($C183-AD$1&lt;År1,0,AC182*(1-VLOOKUP($A183,[1]Hugst!$R$5:$W$9,MATCH(ROUNDUP((AD$1)/10,0)*10,[1]Hugst!$R$4:$W$4,0))))</f>
        <v>0</v>
      </c>
      <c r="AE183" s="168">
        <f ca="1">IF($C183-AE$1&lt;År1,0,AD182*(1-VLOOKUP($A183,[1]Hugst!$R$5:$W$9,MATCH(ROUNDUP((AE$1)/10,0)*10,[1]Hugst!$R$4:$W$4,0))))</f>
        <v>0</v>
      </c>
      <c r="AF183" s="168">
        <f ca="1">IF($C183-AF$1&lt;År1,0,AE182*(1-VLOOKUP($A183,[1]Hugst!$R$5:$W$9,MATCH(ROUNDUP((AF$1)/10,0)*10,[1]Hugst!$R$4:$W$4,0))))</f>
        <v>0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*VLOOKUP(A184,Skovbrug!$A$13:$D$17,IF('Skovbrug-alder'!C184&lt;=År2,3,4),FALSE)-IF(C184&gt;2020,SUM(INDEX($C$1:$D$311,MATCH(1,(2020=$C$1:$C$311)*(B184=$B$1:$B$311)*(A184=$A$1:$A$311),0),2):D183),0))</f>
        <v>0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8">
        <f ca="1">IF($C184-G$1&lt;År1,0,F183*(1-VLOOKUP($A184,[1]Hugst!$R$5:$W$9,MATCH(ROUNDUP((G$1)/10,0)*10,[1]Hugst!$R$4:$W$4,0))))</f>
        <v>0</v>
      </c>
      <c r="H184" s="168">
        <f ca="1">IF($C184-H$1&lt;År1,0,G183*(1-VLOOKUP($A184,[1]Hugst!$R$5:$W$9,MATCH(ROUNDUP((H$1)/10,0)*10,[1]Hugst!$R$4:$W$4,0))))</f>
        <v>0</v>
      </c>
      <c r="I184" s="168">
        <f ca="1">IF($C184-I$1&lt;År1,0,H183*(1-VLOOKUP($A184,[1]Hugst!$R$5:$W$9,MATCH(ROUNDUP((I$1)/10,0)*10,[1]Hugst!$R$4:$W$4,0))))</f>
        <v>0</v>
      </c>
      <c r="J184" s="168">
        <f ca="1">IF($C184-J$1&lt;År1,0,I183*(1-VLOOKUP($A184,[1]Hugst!$R$5:$W$9,MATCH(ROUNDUP((J$1)/10,0)*10,[1]Hugst!$R$4:$W$4,0))))</f>
        <v>0</v>
      </c>
      <c r="K184" s="168">
        <f ca="1">IF($C184-K$1&lt;År1,0,J183*(1-VLOOKUP($A184,[1]Hugst!$R$5:$W$9,MATCH(ROUNDUP((K$1)/10,0)*10,[1]Hugst!$R$4:$W$4,0))))</f>
        <v>0</v>
      </c>
      <c r="L184" s="168">
        <f ca="1">IF($C184-L$1&lt;År1,0,K183*(1-VLOOKUP($A184,[1]Hugst!$R$5:$W$9,MATCH(ROUNDUP((L$1)/10,0)*10,[1]Hugst!$R$4:$W$4,0))))</f>
        <v>0</v>
      </c>
      <c r="M184" s="168">
        <f ca="1">IF($C184-M$1&lt;År1,0,L183*(1-VLOOKUP($A184,[1]Hugst!$R$5:$W$9,MATCH(ROUNDUP((M$1)/10,0)*10,[1]Hugst!$R$4:$W$4,0))))</f>
        <v>0</v>
      </c>
      <c r="N184" s="168">
        <f ca="1">IF($C184-N$1&lt;År1,0,M183*(1-VLOOKUP($A184,[1]Hugst!$R$5:$W$9,MATCH(ROUNDUP((N$1)/10,0)*10,[1]Hugst!$R$4:$W$4,0))))</f>
        <v>0</v>
      </c>
      <c r="O184" s="168">
        <f ca="1">IF($C184-O$1&lt;År1,0,N183*(1-VLOOKUP($A184,[1]Hugst!$R$5:$W$9,MATCH(ROUNDUP((O$1)/10,0)*10,[1]Hugst!$R$4:$W$4,0))))</f>
        <v>0</v>
      </c>
      <c r="P184" s="168">
        <f ca="1">IF($C184-P$1&lt;År1,0,O183*(1-VLOOKUP($A184,[1]Hugst!$R$5:$W$9,MATCH(ROUNDUP((P$1)/10,0)*10,[1]Hugst!$R$4:$W$4,0))))</f>
        <v>0</v>
      </c>
      <c r="Q184" s="168">
        <f ca="1">IF($C184-Q$1&lt;År1,0,P183*(1-VLOOKUP($A184,[1]Hugst!$R$5:$W$9,MATCH(ROUNDUP((Q$1)/10,0)*10,[1]Hugst!$R$4:$W$4,0))))</f>
        <v>0</v>
      </c>
      <c r="R184" s="168">
        <f ca="1">IF($C184-R$1&lt;År1,0,Q183*(1-VLOOKUP($A184,[1]Hugst!$R$5:$W$9,MATCH(ROUNDUP((R$1)/10,0)*10,[1]Hugst!$R$4:$W$4,0))))</f>
        <v>0</v>
      </c>
      <c r="S184" s="168">
        <f ca="1">IF($C184-S$1&lt;År1,0,R183*(1-VLOOKUP($A184,[1]Hugst!$R$5:$W$9,MATCH(ROUNDUP((S$1)/10,0)*10,[1]Hugst!$R$4:$W$4,0))))</f>
        <v>0</v>
      </c>
      <c r="T184" s="168">
        <f ca="1">IF($C184-T$1&lt;År1,0,S183*(1-VLOOKUP($A184,[1]Hugst!$R$5:$W$9,MATCH(ROUNDUP((T$1)/10,0)*10,[1]Hugst!$R$4:$W$4,0))))</f>
        <v>0</v>
      </c>
      <c r="U184" s="168">
        <f ca="1">IF($C184-U$1&lt;År1,0,T183*(1-VLOOKUP($A184,[1]Hugst!$R$5:$W$9,MATCH(ROUNDUP((U$1)/10,0)*10,[1]Hugst!$R$4:$W$4,0))))</f>
        <v>0</v>
      </c>
      <c r="V184" s="168">
        <f ca="1">IF($C184-V$1&lt;År1,0,U183*(1-VLOOKUP($A184,[1]Hugst!$R$5:$W$9,MATCH(ROUNDUP((V$1)/10,0)*10,[1]Hugst!$R$4:$W$4,0))))</f>
        <v>0</v>
      </c>
      <c r="W184" s="168">
        <f ca="1">IF($C184-W$1&lt;År1,0,V183*(1-VLOOKUP($A184,[1]Hugst!$R$5:$W$9,MATCH(ROUNDUP((W$1)/10,0)*10,[1]Hugst!$R$4:$W$4,0))))</f>
        <v>0</v>
      </c>
      <c r="X184" s="168">
        <f ca="1">IF($C184-X$1&lt;År1,0,W183*(1-VLOOKUP($A184,[1]Hugst!$R$5:$W$9,MATCH(ROUNDUP((X$1)/10,0)*10,[1]Hugst!$R$4:$W$4,0))))</f>
        <v>0</v>
      </c>
      <c r="Y184" s="168">
        <f ca="1">IF($C184-Y$1&lt;År1,0,X183*(1-VLOOKUP($A184,[1]Hugst!$R$5:$W$9,MATCH(ROUNDUP((Y$1)/10,0)*10,[1]Hugst!$R$4:$W$4,0))))</f>
        <v>0</v>
      </c>
      <c r="Z184" s="168">
        <f ca="1">IF($C184-Z$1&lt;År1,0,Y183*(1-VLOOKUP($A184,[1]Hugst!$R$5:$W$9,MATCH(ROUNDUP((Z$1)/10,0)*10,[1]Hugst!$R$4:$W$4,0))))</f>
        <v>0</v>
      </c>
      <c r="AA184" s="168">
        <f ca="1">IF($C184-AA$1&lt;År1,0,Z183*(1-VLOOKUP($A184,[1]Hugst!$R$5:$W$9,MATCH(ROUNDUP((AA$1)/10,0)*10,[1]Hugst!$R$4:$W$4,0))))</f>
        <v>0</v>
      </c>
      <c r="AB184" s="168">
        <f ca="1">IF($C184-AB$1&lt;År1,0,AA183*(1-VLOOKUP($A184,[1]Hugst!$R$5:$W$9,MATCH(ROUNDUP((AB$1)/10,0)*10,[1]Hugst!$R$4:$W$4,0))))</f>
        <v>0</v>
      </c>
      <c r="AC184" s="168">
        <f ca="1">IF($C184-AC$1&lt;År1,0,AB183*(1-VLOOKUP($A184,[1]Hugst!$R$5:$W$9,MATCH(ROUNDUP((AC$1)/10,0)*10,[1]Hugst!$R$4:$W$4,0))))</f>
        <v>0</v>
      </c>
      <c r="AD184" s="168">
        <f ca="1">IF($C184-AD$1&lt;År1,0,AC183*(1-VLOOKUP($A184,[1]Hugst!$R$5:$W$9,MATCH(ROUNDUP((AD$1)/10,0)*10,[1]Hugst!$R$4:$W$4,0))))</f>
        <v>0</v>
      </c>
      <c r="AE184" s="168">
        <f ca="1">IF($C184-AE$1&lt;År1,0,AD183*(1-VLOOKUP($A184,[1]Hugst!$R$5:$W$9,MATCH(ROUNDUP((AE$1)/10,0)*10,[1]Hugst!$R$4:$W$4,0))))</f>
        <v>0</v>
      </c>
      <c r="AF184" s="168">
        <f ca="1">IF($C184-AF$1&lt;År1,0,AE183*(1-VLOOKUP($A184,[1]Hugst!$R$5:$W$9,MATCH(ROUNDUP((AF$1)/10,0)*10,[1]Hugst!$R$4:$W$4,0))))</f>
        <v>0</v>
      </c>
      <c r="AG184" s="168">
        <f ca="1">IF($C184-AG$1&lt;År1,0,AF183*(1-VLOOKUP($A184,[1]Hugst!$R$5:$W$9,MATCH(ROUNDUP((AG$1)/10,0)*10,[1]Hugst!$R$4:$W$4,0))))</f>
        <v>0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*VLOOKUP(A185,Skovbrug!$A$13:$D$17,IF('Skovbrug-alder'!C185&lt;=År2,3,4),FALSE)-IF(C185&gt;2020,SUM(INDEX($C$1:$D$311,MATCH(1,(2020=$C$1:$C$311)*(B185=$B$1:$B$311)*(A185=$A$1:$A$311),0),2):D184),0))</f>
        <v>0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8">
        <f ca="1">IF($C185-G$1&lt;År1,0,F184*(1-VLOOKUP($A185,[1]Hugst!$R$5:$W$9,MATCH(ROUNDUP((G$1)/10,0)*10,[1]Hugst!$R$4:$W$4,0))))</f>
        <v>0</v>
      </c>
      <c r="H185" s="168">
        <f ca="1">IF($C185-H$1&lt;År1,0,G184*(1-VLOOKUP($A185,[1]Hugst!$R$5:$W$9,MATCH(ROUNDUP((H$1)/10,0)*10,[1]Hugst!$R$4:$W$4,0))))</f>
        <v>0</v>
      </c>
      <c r="I185" s="168">
        <f ca="1">IF($C185-I$1&lt;År1,0,H184*(1-VLOOKUP($A185,[1]Hugst!$R$5:$W$9,MATCH(ROUNDUP((I$1)/10,0)*10,[1]Hugst!$R$4:$W$4,0))))</f>
        <v>0</v>
      </c>
      <c r="J185" s="168">
        <f ca="1">IF($C185-J$1&lt;År1,0,I184*(1-VLOOKUP($A185,[1]Hugst!$R$5:$W$9,MATCH(ROUNDUP((J$1)/10,0)*10,[1]Hugst!$R$4:$W$4,0))))</f>
        <v>0</v>
      </c>
      <c r="K185" s="168">
        <f ca="1">IF($C185-K$1&lt;År1,0,J184*(1-VLOOKUP($A185,[1]Hugst!$R$5:$W$9,MATCH(ROUNDUP((K$1)/10,0)*10,[1]Hugst!$R$4:$W$4,0))))</f>
        <v>0</v>
      </c>
      <c r="L185" s="168">
        <f ca="1">IF($C185-L$1&lt;År1,0,K184*(1-VLOOKUP($A185,[1]Hugst!$R$5:$W$9,MATCH(ROUNDUP((L$1)/10,0)*10,[1]Hugst!$R$4:$W$4,0))))</f>
        <v>0</v>
      </c>
      <c r="M185" s="168">
        <f ca="1">IF($C185-M$1&lt;År1,0,L184*(1-VLOOKUP($A185,[1]Hugst!$R$5:$W$9,MATCH(ROUNDUP((M$1)/10,0)*10,[1]Hugst!$R$4:$W$4,0))))</f>
        <v>0</v>
      </c>
      <c r="N185" s="168">
        <f ca="1">IF($C185-N$1&lt;År1,0,M184*(1-VLOOKUP($A185,[1]Hugst!$R$5:$W$9,MATCH(ROUNDUP((N$1)/10,0)*10,[1]Hugst!$R$4:$W$4,0))))</f>
        <v>0</v>
      </c>
      <c r="O185" s="168">
        <f ca="1">IF($C185-O$1&lt;År1,0,N184*(1-VLOOKUP($A185,[1]Hugst!$R$5:$W$9,MATCH(ROUNDUP((O$1)/10,0)*10,[1]Hugst!$R$4:$W$4,0))))</f>
        <v>0</v>
      </c>
      <c r="P185" s="168">
        <f ca="1">IF($C185-P$1&lt;År1,0,O184*(1-VLOOKUP($A185,[1]Hugst!$R$5:$W$9,MATCH(ROUNDUP((P$1)/10,0)*10,[1]Hugst!$R$4:$W$4,0))))</f>
        <v>0</v>
      </c>
      <c r="Q185" s="168">
        <f ca="1">IF($C185-Q$1&lt;År1,0,P184*(1-VLOOKUP($A185,[1]Hugst!$R$5:$W$9,MATCH(ROUNDUP((Q$1)/10,0)*10,[1]Hugst!$R$4:$W$4,0))))</f>
        <v>0</v>
      </c>
      <c r="R185" s="168">
        <f ca="1">IF($C185-R$1&lt;År1,0,Q184*(1-VLOOKUP($A185,[1]Hugst!$R$5:$W$9,MATCH(ROUNDUP((R$1)/10,0)*10,[1]Hugst!$R$4:$W$4,0))))</f>
        <v>0</v>
      </c>
      <c r="S185" s="168">
        <f ca="1">IF($C185-S$1&lt;År1,0,R184*(1-VLOOKUP($A185,[1]Hugst!$R$5:$W$9,MATCH(ROUNDUP((S$1)/10,0)*10,[1]Hugst!$R$4:$W$4,0))))</f>
        <v>0</v>
      </c>
      <c r="T185" s="168">
        <f ca="1">IF($C185-T$1&lt;År1,0,S184*(1-VLOOKUP($A185,[1]Hugst!$R$5:$W$9,MATCH(ROUNDUP((T$1)/10,0)*10,[1]Hugst!$R$4:$W$4,0))))</f>
        <v>0</v>
      </c>
      <c r="U185" s="168">
        <f ca="1">IF($C185-U$1&lt;År1,0,T184*(1-VLOOKUP($A185,[1]Hugst!$R$5:$W$9,MATCH(ROUNDUP((U$1)/10,0)*10,[1]Hugst!$R$4:$W$4,0))))</f>
        <v>0</v>
      </c>
      <c r="V185" s="168">
        <f ca="1">IF($C185-V$1&lt;År1,0,U184*(1-VLOOKUP($A185,[1]Hugst!$R$5:$W$9,MATCH(ROUNDUP((V$1)/10,0)*10,[1]Hugst!$R$4:$W$4,0))))</f>
        <v>0</v>
      </c>
      <c r="W185" s="168">
        <f ca="1">IF($C185-W$1&lt;År1,0,V184*(1-VLOOKUP($A185,[1]Hugst!$R$5:$W$9,MATCH(ROUNDUP((W$1)/10,0)*10,[1]Hugst!$R$4:$W$4,0))))</f>
        <v>0</v>
      </c>
      <c r="X185" s="168">
        <f ca="1">IF($C185-X$1&lt;År1,0,W184*(1-VLOOKUP($A185,[1]Hugst!$R$5:$W$9,MATCH(ROUNDUP((X$1)/10,0)*10,[1]Hugst!$R$4:$W$4,0))))</f>
        <v>0</v>
      </c>
      <c r="Y185" s="168">
        <f ca="1">IF($C185-Y$1&lt;År1,0,X184*(1-VLOOKUP($A185,[1]Hugst!$R$5:$W$9,MATCH(ROUNDUP((Y$1)/10,0)*10,[1]Hugst!$R$4:$W$4,0))))</f>
        <v>0</v>
      </c>
      <c r="Z185" s="168">
        <f ca="1">IF($C185-Z$1&lt;År1,0,Y184*(1-VLOOKUP($A185,[1]Hugst!$R$5:$W$9,MATCH(ROUNDUP((Z$1)/10,0)*10,[1]Hugst!$R$4:$W$4,0))))</f>
        <v>0</v>
      </c>
      <c r="AA185" s="168">
        <f ca="1">IF($C185-AA$1&lt;År1,0,Z184*(1-VLOOKUP($A185,[1]Hugst!$R$5:$W$9,MATCH(ROUNDUP((AA$1)/10,0)*10,[1]Hugst!$R$4:$W$4,0))))</f>
        <v>0</v>
      </c>
      <c r="AB185" s="168">
        <f ca="1">IF($C185-AB$1&lt;År1,0,AA184*(1-VLOOKUP($A185,[1]Hugst!$R$5:$W$9,MATCH(ROUNDUP((AB$1)/10,0)*10,[1]Hugst!$R$4:$W$4,0))))</f>
        <v>0</v>
      </c>
      <c r="AC185" s="168">
        <f ca="1">IF($C185-AC$1&lt;År1,0,AB184*(1-VLOOKUP($A185,[1]Hugst!$R$5:$W$9,MATCH(ROUNDUP((AC$1)/10,0)*10,[1]Hugst!$R$4:$W$4,0))))</f>
        <v>0</v>
      </c>
      <c r="AD185" s="168">
        <f ca="1">IF($C185-AD$1&lt;År1,0,AC184*(1-VLOOKUP($A185,[1]Hugst!$R$5:$W$9,MATCH(ROUNDUP((AD$1)/10,0)*10,[1]Hugst!$R$4:$W$4,0))))</f>
        <v>0</v>
      </c>
      <c r="AE185" s="168">
        <f ca="1">IF($C185-AE$1&lt;År1,0,AD184*(1-VLOOKUP($A185,[1]Hugst!$R$5:$W$9,MATCH(ROUNDUP((AE$1)/10,0)*10,[1]Hugst!$R$4:$W$4,0))))</f>
        <v>0</v>
      </c>
      <c r="AF185" s="168">
        <f ca="1">IF($C185-AF$1&lt;År1,0,AE184*(1-VLOOKUP($A185,[1]Hugst!$R$5:$W$9,MATCH(ROUNDUP((AF$1)/10,0)*10,[1]Hugst!$R$4:$W$4,0))))</f>
        <v>0</v>
      </c>
      <c r="AG185" s="168">
        <f ca="1">IF($C185-AG$1&lt;År1,0,AF184*(1-VLOOKUP($A185,[1]Hugst!$R$5:$W$9,MATCH(ROUNDUP((AG$1)/10,0)*10,[1]Hugst!$R$4:$W$4,0))))</f>
        <v>0</v>
      </c>
      <c r="AH185" s="168">
        <f ca="1">IF($C185-AH$1&lt;År1,0,AG184*(1-VLOOKUP($A185,[1]Hugst!$R$5:$W$9,MATCH(ROUNDUP((AH$1)/10,0)*10,[1]Hugst!$R$4:$W$4,0))))</f>
        <v>0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*VLOOKUP(A186,Skovbrug!$A$13:$D$17,IF('Skovbrug-alder'!C186&lt;=År2,3,4),FALSE)-IF(C186&gt;2020,SUM(INDEX($C$1:$D$311,MATCH(1,(2020=$C$1:$C$311)*(B186=$B$1:$B$311)*(A186=$A$1:$A$311),0),2):D185),0))</f>
        <v>0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8">
        <f ca="1">IF($C186-G$1&lt;År1,0,F185*(1-VLOOKUP($A186,[1]Hugst!$R$5:$W$9,MATCH(ROUNDUP((G$1)/10,0)*10,[1]Hugst!$R$4:$W$4,0))))</f>
        <v>0</v>
      </c>
      <c r="H186" s="168">
        <f ca="1">IF($C186-H$1&lt;År1,0,G185*(1-VLOOKUP($A186,[1]Hugst!$R$5:$W$9,MATCH(ROUNDUP((H$1)/10,0)*10,[1]Hugst!$R$4:$W$4,0))))</f>
        <v>0</v>
      </c>
      <c r="I186" s="168">
        <f ca="1">IF($C186-I$1&lt;År1,0,H185*(1-VLOOKUP($A186,[1]Hugst!$R$5:$W$9,MATCH(ROUNDUP((I$1)/10,0)*10,[1]Hugst!$R$4:$W$4,0))))</f>
        <v>0</v>
      </c>
      <c r="J186" s="168">
        <f ca="1">IF($C186-J$1&lt;År1,0,I185*(1-VLOOKUP($A186,[1]Hugst!$R$5:$W$9,MATCH(ROUNDUP((J$1)/10,0)*10,[1]Hugst!$R$4:$W$4,0))))</f>
        <v>0</v>
      </c>
      <c r="K186" s="168">
        <f ca="1">IF($C186-K$1&lt;År1,0,J185*(1-VLOOKUP($A186,[1]Hugst!$R$5:$W$9,MATCH(ROUNDUP((K$1)/10,0)*10,[1]Hugst!$R$4:$W$4,0))))</f>
        <v>0</v>
      </c>
      <c r="L186" s="168">
        <f ca="1">IF($C186-L$1&lt;År1,0,K185*(1-VLOOKUP($A186,[1]Hugst!$R$5:$W$9,MATCH(ROUNDUP((L$1)/10,0)*10,[1]Hugst!$R$4:$W$4,0))))</f>
        <v>0</v>
      </c>
      <c r="M186" s="168">
        <f ca="1">IF($C186-M$1&lt;År1,0,L185*(1-VLOOKUP($A186,[1]Hugst!$R$5:$W$9,MATCH(ROUNDUP((M$1)/10,0)*10,[1]Hugst!$R$4:$W$4,0))))</f>
        <v>0</v>
      </c>
      <c r="N186" s="168">
        <f ca="1">IF($C186-N$1&lt;År1,0,M185*(1-VLOOKUP($A186,[1]Hugst!$R$5:$W$9,MATCH(ROUNDUP((N$1)/10,0)*10,[1]Hugst!$R$4:$W$4,0))))</f>
        <v>0</v>
      </c>
      <c r="O186" s="168">
        <f ca="1">IF($C186-O$1&lt;År1,0,N185*(1-VLOOKUP($A186,[1]Hugst!$R$5:$W$9,MATCH(ROUNDUP((O$1)/10,0)*10,[1]Hugst!$R$4:$W$4,0))))</f>
        <v>0</v>
      </c>
      <c r="P186" s="168">
        <f ca="1">IF($C186-P$1&lt;År1,0,O185*(1-VLOOKUP($A186,[1]Hugst!$R$5:$W$9,MATCH(ROUNDUP((P$1)/10,0)*10,[1]Hugst!$R$4:$W$4,0))))</f>
        <v>0</v>
      </c>
      <c r="Q186" s="168">
        <f ca="1">IF($C186-Q$1&lt;År1,0,P185*(1-VLOOKUP($A186,[1]Hugst!$R$5:$W$9,MATCH(ROUNDUP((Q$1)/10,0)*10,[1]Hugst!$R$4:$W$4,0))))</f>
        <v>0</v>
      </c>
      <c r="R186" s="168">
        <f ca="1">IF($C186-R$1&lt;År1,0,Q185*(1-VLOOKUP($A186,[1]Hugst!$R$5:$W$9,MATCH(ROUNDUP((R$1)/10,0)*10,[1]Hugst!$R$4:$W$4,0))))</f>
        <v>0</v>
      </c>
      <c r="S186" s="168">
        <f ca="1">IF($C186-S$1&lt;År1,0,R185*(1-VLOOKUP($A186,[1]Hugst!$R$5:$W$9,MATCH(ROUNDUP((S$1)/10,0)*10,[1]Hugst!$R$4:$W$4,0))))</f>
        <v>0</v>
      </c>
      <c r="T186" s="168">
        <f ca="1">IF($C186-T$1&lt;År1,0,S185*(1-VLOOKUP($A186,[1]Hugst!$R$5:$W$9,MATCH(ROUNDUP((T$1)/10,0)*10,[1]Hugst!$R$4:$W$4,0))))</f>
        <v>0</v>
      </c>
      <c r="U186" s="168">
        <f ca="1">IF($C186-U$1&lt;År1,0,T185*(1-VLOOKUP($A186,[1]Hugst!$R$5:$W$9,MATCH(ROUNDUP((U$1)/10,0)*10,[1]Hugst!$R$4:$W$4,0))))</f>
        <v>0</v>
      </c>
      <c r="V186" s="168">
        <f ca="1">IF($C186-V$1&lt;År1,0,U185*(1-VLOOKUP($A186,[1]Hugst!$R$5:$W$9,MATCH(ROUNDUP((V$1)/10,0)*10,[1]Hugst!$R$4:$W$4,0))))</f>
        <v>0</v>
      </c>
      <c r="W186" s="168">
        <f ca="1">IF($C186-W$1&lt;År1,0,V185*(1-VLOOKUP($A186,[1]Hugst!$R$5:$W$9,MATCH(ROUNDUP((W$1)/10,0)*10,[1]Hugst!$R$4:$W$4,0))))</f>
        <v>0</v>
      </c>
      <c r="X186" s="168">
        <f ca="1">IF($C186-X$1&lt;År1,0,W185*(1-VLOOKUP($A186,[1]Hugst!$R$5:$W$9,MATCH(ROUNDUP((X$1)/10,0)*10,[1]Hugst!$R$4:$W$4,0))))</f>
        <v>0</v>
      </c>
      <c r="Y186" s="168">
        <f ca="1">IF($C186-Y$1&lt;År1,0,X185*(1-VLOOKUP($A186,[1]Hugst!$R$5:$W$9,MATCH(ROUNDUP((Y$1)/10,0)*10,[1]Hugst!$R$4:$W$4,0))))</f>
        <v>0</v>
      </c>
      <c r="Z186" s="168">
        <f ca="1">IF($C186-Z$1&lt;År1,0,Y185*(1-VLOOKUP($A186,[1]Hugst!$R$5:$W$9,MATCH(ROUNDUP((Z$1)/10,0)*10,[1]Hugst!$R$4:$W$4,0))))</f>
        <v>0</v>
      </c>
      <c r="AA186" s="168">
        <f ca="1">IF($C186-AA$1&lt;År1,0,Z185*(1-VLOOKUP($A186,[1]Hugst!$R$5:$W$9,MATCH(ROUNDUP((AA$1)/10,0)*10,[1]Hugst!$R$4:$W$4,0))))</f>
        <v>0</v>
      </c>
      <c r="AB186" s="168">
        <f ca="1">IF($C186-AB$1&lt;År1,0,AA185*(1-VLOOKUP($A186,[1]Hugst!$R$5:$W$9,MATCH(ROUNDUP((AB$1)/10,0)*10,[1]Hugst!$R$4:$W$4,0))))</f>
        <v>0</v>
      </c>
      <c r="AC186" s="168">
        <f ca="1">IF($C186-AC$1&lt;År1,0,AB185*(1-VLOOKUP($A186,[1]Hugst!$R$5:$W$9,MATCH(ROUNDUP((AC$1)/10,0)*10,[1]Hugst!$R$4:$W$4,0))))</f>
        <v>0</v>
      </c>
      <c r="AD186" s="168">
        <f ca="1">IF($C186-AD$1&lt;År1,0,AC185*(1-VLOOKUP($A186,[1]Hugst!$R$5:$W$9,MATCH(ROUNDUP((AD$1)/10,0)*10,[1]Hugst!$R$4:$W$4,0))))</f>
        <v>0</v>
      </c>
      <c r="AE186" s="168">
        <f ca="1">IF($C186-AE$1&lt;År1,0,AD185*(1-VLOOKUP($A186,[1]Hugst!$R$5:$W$9,MATCH(ROUNDUP((AE$1)/10,0)*10,[1]Hugst!$R$4:$W$4,0))))</f>
        <v>0</v>
      </c>
      <c r="AF186" s="168">
        <f ca="1">IF($C186-AF$1&lt;År1,0,AE185*(1-VLOOKUP($A186,[1]Hugst!$R$5:$W$9,MATCH(ROUNDUP((AF$1)/10,0)*10,[1]Hugst!$R$4:$W$4,0))))</f>
        <v>0</v>
      </c>
      <c r="AG186" s="168">
        <f ca="1">IF($C186-AG$1&lt;År1,0,AF185*(1-VLOOKUP($A186,[1]Hugst!$R$5:$W$9,MATCH(ROUNDUP((AG$1)/10,0)*10,[1]Hugst!$R$4:$W$4,0))))</f>
        <v>0</v>
      </c>
      <c r="AH186" s="168">
        <f ca="1">IF($C186-AH$1&lt;År1,0,AG185*(1-VLOOKUP($A186,[1]Hugst!$R$5:$W$9,MATCH(ROUNDUP((AH$1)/10,0)*10,[1]Hugst!$R$4:$W$4,0))))</f>
        <v>0</v>
      </c>
      <c r="AI186" s="168">
        <f ca="1">IF($C186-AI$1&lt;År1,0,AH185*(1-VLOOKUP($A186,[1]Hugst!$R$5:$W$9,MATCH(ROUNDUP((AI$1)/10,0)*10,[1]Hugst!$R$4:$W$4,0))))</f>
        <v>0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*VLOOKUP(A187,Skovbrug!$A$13:$D$17,IF('Skovbrug-alder'!C187&lt;=År2,3,4),FALSE)-IF(C187&gt;2020,SUM(INDEX($C$1:$D$311,MATCH(1,(2020=$C$1:$C$311)*(B187=$B$1:$B$311)*(A187=$A$1:$A$311),0),2):D186),0))</f>
        <v>0</v>
      </c>
      <c r="E187" s="168">
        <f t="shared" ca="1" si="3"/>
        <v>0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8">
        <f ca="1">IF($C187-G$1&lt;År1,0,F186*(1-VLOOKUP($A187,[1]Hugst!$R$5:$W$9,MATCH(ROUNDUP((G$1)/10,0)*10,[1]Hugst!$R$4:$W$4,0))))</f>
        <v>0</v>
      </c>
      <c r="H187" s="168">
        <f ca="1">IF($C187-H$1&lt;År1,0,G186*(1-VLOOKUP($A187,[1]Hugst!$R$5:$W$9,MATCH(ROUNDUP((H$1)/10,0)*10,[1]Hugst!$R$4:$W$4,0))))</f>
        <v>0</v>
      </c>
      <c r="I187" s="168">
        <f ca="1">IF($C187-I$1&lt;År1,0,H186*(1-VLOOKUP($A187,[1]Hugst!$R$5:$W$9,MATCH(ROUNDUP((I$1)/10,0)*10,[1]Hugst!$R$4:$W$4,0))))</f>
        <v>0</v>
      </c>
      <c r="J187" s="168">
        <f ca="1">IF($C187-J$1&lt;År1,0,I186*(1-VLOOKUP($A187,[1]Hugst!$R$5:$W$9,MATCH(ROUNDUP((J$1)/10,0)*10,[1]Hugst!$R$4:$W$4,0))))</f>
        <v>0</v>
      </c>
      <c r="K187" s="168">
        <f ca="1">IF($C187-K$1&lt;År1,0,J186*(1-VLOOKUP($A187,[1]Hugst!$R$5:$W$9,MATCH(ROUNDUP((K$1)/10,0)*10,[1]Hugst!$R$4:$W$4,0))))</f>
        <v>0</v>
      </c>
      <c r="L187" s="168">
        <f ca="1">IF($C187-L$1&lt;År1,0,K186*(1-VLOOKUP($A187,[1]Hugst!$R$5:$W$9,MATCH(ROUNDUP((L$1)/10,0)*10,[1]Hugst!$R$4:$W$4,0))))</f>
        <v>0</v>
      </c>
      <c r="M187" s="168">
        <f ca="1">IF($C187-M$1&lt;År1,0,L186*(1-VLOOKUP($A187,[1]Hugst!$R$5:$W$9,MATCH(ROUNDUP((M$1)/10,0)*10,[1]Hugst!$R$4:$W$4,0))))</f>
        <v>0</v>
      </c>
      <c r="N187" s="168">
        <f ca="1">IF($C187-N$1&lt;År1,0,M186*(1-VLOOKUP($A187,[1]Hugst!$R$5:$W$9,MATCH(ROUNDUP((N$1)/10,0)*10,[1]Hugst!$R$4:$W$4,0))))</f>
        <v>0</v>
      </c>
      <c r="O187" s="168">
        <f ca="1">IF($C187-O$1&lt;År1,0,N186*(1-VLOOKUP($A187,[1]Hugst!$R$5:$W$9,MATCH(ROUNDUP((O$1)/10,0)*10,[1]Hugst!$R$4:$W$4,0))))</f>
        <v>0</v>
      </c>
      <c r="P187" s="168">
        <f ca="1">IF($C187-P$1&lt;År1,0,O186*(1-VLOOKUP($A187,[1]Hugst!$R$5:$W$9,MATCH(ROUNDUP((P$1)/10,0)*10,[1]Hugst!$R$4:$W$4,0))))</f>
        <v>0</v>
      </c>
      <c r="Q187" s="168">
        <f ca="1">IF($C187-Q$1&lt;År1,0,P186*(1-VLOOKUP($A187,[1]Hugst!$R$5:$W$9,MATCH(ROUNDUP((Q$1)/10,0)*10,[1]Hugst!$R$4:$W$4,0))))</f>
        <v>0</v>
      </c>
      <c r="R187" s="168">
        <f ca="1">IF($C187-R$1&lt;År1,0,Q186*(1-VLOOKUP($A187,[1]Hugst!$R$5:$W$9,MATCH(ROUNDUP((R$1)/10,0)*10,[1]Hugst!$R$4:$W$4,0))))</f>
        <v>0</v>
      </c>
      <c r="S187" s="168">
        <f ca="1">IF($C187-S$1&lt;År1,0,R186*(1-VLOOKUP($A187,[1]Hugst!$R$5:$W$9,MATCH(ROUNDUP((S$1)/10,0)*10,[1]Hugst!$R$4:$W$4,0))))</f>
        <v>0</v>
      </c>
      <c r="T187" s="168">
        <f ca="1">IF($C187-T$1&lt;År1,0,S186*(1-VLOOKUP($A187,[1]Hugst!$R$5:$W$9,MATCH(ROUNDUP((T$1)/10,0)*10,[1]Hugst!$R$4:$W$4,0))))</f>
        <v>0</v>
      </c>
      <c r="U187" s="168">
        <f ca="1">IF($C187-U$1&lt;År1,0,T186*(1-VLOOKUP($A187,[1]Hugst!$R$5:$W$9,MATCH(ROUNDUP((U$1)/10,0)*10,[1]Hugst!$R$4:$W$4,0))))</f>
        <v>0</v>
      </c>
      <c r="V187" s="168">
        <f ca="1">IF($C187-V$1&lt;År1,0,U186*(1-VLOOKUP($A187,[1]Hugst!$R$5:$W$9,MATCH(ROUNDUP((V$1)/10,0)*10,[1]Hugst!$R$4:$W$4,0))))</f>
        <v>0</v>
      </c>
      <c r="W187" s="168">
        <f ca="1">IF($C187-W$1&lt;År1,0,V186*(1-VLOOKUP($A187,[1]Hugst!$R$5:$W$9,MATCH(ROUNDUP((W$1)/10,0)*10,[1]Hugst!$R$4:$W$4,0))))</f>
        <v>0</v>
      </c>
      <c r="X187" s="168">
        <f ca="1">IF($C187-X$1&lt;År1,0,W186*(1-VLOOKUP($A187,[1]Hugst!$R$5:$W$9,MATCH(ROUNDUP((X$1)/10,0)*10,[1]Hugst!$R$4:$W$4,0))))</f>
        <v>0</v>
      </c>
      <c r="Y187" s="168">
        <f ca="1">IF($C187-Y$1&lt;År1,0,X186*(1-VLOOKUP($A187,[1]Hugst!$R$5:$W$9,MATCH(ROUNDUP((Y$1)/10,0)*10,[1]Hugst!$R$4:$W$4,0))))</f>
        <v>0</v>
      </c>
      <c r="Z187" s="168">
        <f ca="1">IF($C187-Z$1&lt;År1,0,Y186*(1-VLOOKUP($A187,[1]Hugst!$R$5:$W$9,MATCH(ROUNDUP((Z$1)/10,0)*10,[1]Hugst!$R$4:$W$4,0))))</f>
        <v>0</v>
      </c>
      <c r="AA187" s="168">
        <f ca="1">IF($C187-AA$1&lt;År1,0,Z186*(1-VLOOKUP($A187,[1]Hugst!$R$5:$W$9,MATCH(ROUNDUP((AA$1)/10,0)*10,[1]Hugst!$R$4:$W$4,0))))</f>
        <v>0</v>
      </c>
      <c r="AB187" s="168">
        <f ca="1">IF($C187-AB$1&lt;År1,0,AA186*(1-VLOOKUP($A187,[1]Hugst!$R$5:$W$9,MATCH(ROUNDUP((AB$1)/10,0)*10,[1]Hugst!$R$4:$W$4,0))))</f>
        <v>0</v>
      </c>
      <c r="AC187" s="168">
        <f ca="1">IF($C187-AC$1&lt;År1,0,AB186*(1-VLOOKUP($A187,[1]Hugst!$R$5:$W$9,MATCH(ROUNDUP((AC$1)/10,0)*10,[1]Hugst!$R$4:$W$4,0))))</f>
        <v>0</v>
      </c>
      <c r="AD187" s="168">
        <f ca="1">IF($C187-AD$1&lt;År1,0,AC186*(1-VLOOKUP($A187,[1]Hugst!$R$5:$W$9,MATCH(ROUNDUP((AD$1)/10,0)*10,[1]Hugst!$R$4:$W$4,0))))</f>
        <v>0</v>
      </c>
      <c r="AE187" s="168">
        <f ca="1">IF($C187-AE$1&lt;År1,0,AD186*(1-VLOOKUP($A187,[1]Hugst!$R$5:$W$9,MATCH(ROUNDUP((AE$1)/10,0)*10,[1]Hugst!$R$4:$W$4,0))))</f>
        <v>0</v>
      </c>
      <c r="AF187" s="168">
        <f ca="1">IF($C187-AF$1&lt;År1,0,AE186*(1-VLOOKUP($A187,[1]Hugst!$R$5:$W$9,MATCH(ROUNDUP((AF$1)/10,0)*10,[1]Hugst!$R$4:$W$4,0))))</f>
        <v>0</v>
      </c>
      <c r="AG187" s="168">
        <f ca="1">IF($C187-AG$1&lt;År1,0,AF186*(1-VLOOKUP($A187,[1]Hugst!$R$5:$W$9,MATCH(ROUNDUP((AG$1)/10,0)*10,[1]Hugst!$R$4:$W$4,0))))</f>
        <v>0</v>
      </c>
      <c r="AH187" s="168">
        <f ca="1">IF($C187-AH$1&lt;År1,0,AG186*(1-VLOOKUP($A187,[1]Hugst!$R$5:$W$9,MATCH(ROUNDUP((AH$1)/10,0)*10,[1]Hugst!$R$4:$W$4,0))))</f>
        <v>0</v>
      </c>
      <c r="AI187" s="168">
        <f ca="1">IF($C187-AI$1&lt;År1,0,AH186*(1-VLOOKUP($A187,[1]Hugst!$R$5:$W$9,MATCH(ROUNDUP((AI$1)/10,0)*10,[1]Hugst!$R$4:$W$4,0))))</f>
        <v>0</v>
      </c>
      <c r="AJ187" s="168">
        <f ca="1">IF($C187-AJ$1&lt;År1,0,AI186*(1-VLOOKUP($A187,[1]Hugst!$R$5:$W$9,MATCH(ROUNDUP((AJ$1)/10,0)*10,[1]Hugst!$R$4:$W$4,0))))</f>
        <v>0</v>
      </c>
    </row>
    <row r="188" spans="1:36" x14ac:dyDescent="0.25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*VLOOKUP(A188,Skovbrug!$A$13:$D$17,IF('Skovbrug-alder'!C188&lt;=År2,3,4),FALSE)-IF(C188&gt;2020,SUM(INDEX($C$1:$D$311,MATCH(1,(2020=$C$1:$C$311)*(B188=$B$1:$B$311)*(A188=$A$1:$A$311),0),2):D187),0)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*VLOOKUP(A189,Skovbrug!$A$13:$D$17,IF('Skovbrug-alder'!C189&lt;=År2,3,4),FALSE)-IF(C189&gt;2020,SUM(INDEX($C$1:$D$311,MATCH(1,(2020=$C$1:$C$311)*(B189=$B$1:$B$311)*(A189=$A$1:$A$311),0),2):D188),0))</f>
        <v>0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8">
        <f ca="1">IF($C189-G$1&lt;År1,0,F188*(1-VLOOKUP($A189,[1]Hugst!$R$5:$W$9,MATCH(ROUNDUP((G$1)/10,0)*10,[1]Hugst!$R$4:$W$4,0))))</f>
        <v>0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*VLOOKUP(A190,Skovbrug!$A$13:$D$17,IF('Skovbrug-alder'!C190&lt;=År2,3,4),FALSE)-IF(C190&gt;2020,SUM(INDEX($C$1:$D$311,MATCH(1,(2020=$C$1:$C$311)*(B190=$B$1:$B$311)*(A190=$A$1:$A$311),0),2):D189),0))</f>
        <v>0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8">
        <f ca="1">IF($C190-G$1&lt;År1,0,F189*(1-VLOOKUP($A190,[1]Hugst!$R$5:$W$9,MATCH(ROUNDUP((G$1)/10,0)*10,[1]Hugst!$R$4:$W$4,0))))</f>
        <v>0</v>
      </c>
      <c r="H190" s="168">
        <f ca="1">IF($C190-H$1&lt;År1,0,G189*(1-VLOOKUP($A190,[1]Hugst!$R$5:$W$9,MATCH(ROUNDUP((H$1)/10,0)*10,[1]Hugst!$R$4:$W$4,0))))</f>
        <v>0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*VLOOKUP(A191,Skovbrug!$A$13:$D$17,IF('Skovbrug-alder'!C191&lt;=År2,3,4),FALSE)-IF(C191&gt;2020,SUM(INDEX($C$1:$D$311,MATCH(1,(2020=$C$1:$C$311)*(B191=$B$1:$B$311)*(A191=$A$1:$A$311),0),2):D190),0))</f>
        <v>0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8">
        <f ca="1">IF($C191-G$1&lt;År1,0,F190*(1-VLOOKUP($A191,[1]Hugst!$R$5:$W$9,MATCH(ROUNDUP((G$1)/10,0)*10,[1]Hugst!$R$4:$W$4,0))))</f>
        <v>0</v>
      </c>
      <c r="H191" s="168">
        <f ca="1">IF($C191-H$1&lt;År1,0,G190*(1-VLOOKUP($A191,[1]Hugst!$R$5:$W$9,MATCH(ROUNDUP((H$1)/10,0)*10,[1]Hugst!$R$4:$W$4,0))))</f>
        <v>0</v>
      </c>
      <c r="I191" s="168">
        <f ca="1">IF($C191-I$1&lt;År1,0,H190*(1-VLOOKUP($A191,[1]Hugst!$R$5:$W$9,MATCH(ROUNDUP((I$1)/10,0)*10,[1]Hugst!$R$4:$W$4,0))))</f>
        <v>0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*VLOOKUP(A192,Skovbrug!$A$13:$D$17,IF('Skovbrug-alder'!C192&lt;=År2,3,4),FALSE)-IF(C192&gt;2020,SUM(INDEX($C$1:$D$311,MATCH(1,(2020=$C$1:$C$311)*(B192=$B$1:$B$311)*(A192=$A$1:$A$311),0),2):D191),0))</f>
        <v>0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8">
        <f ca="1">IF($C192-G$1&lt;År1,0,F191*(1-VLOOKUP($A192,[1]Hugst!$R$5:$W$9,MATCH(ROUNDUP((G$1)/10,0)*10,[1]Hugst!$R$4:$W$4,0))))</f>
        <v>0</v>
      </c>
      <c r="H192" s="168">
        <f ca="1">IF($C192-H$1&lt;År1,0,G191*(1-VLOOKUP($A192,[1]Hugst!$R$5:$W$9,MATCH(ROUNDUP((H$1)/10,0)*10,[1]Hugst!$R$4:$W$4,0))))</f>
        <v>0</v>
      </c>
      <c r="I192" s="168">
        <f ca="1">IF($C192-I$1&lt;År1,0,H191*(1-VLOOKUP($A192,[1]Hugst!$R$5:$W$9,MATCH(ROUNDUP((I$1)/10,0)*10,[1]Hugst!$R$4:$W$4,0))))</f>
        <v>0</v>
      </c>
      <c r="J192" s="168">
        <f ca="1">IF($C192-J$1&lt;År1,0,I191*(1-VLOOKUP($A192,[1]Hugst!$R$5:$W$9,MATCH(ROUNDUP((J$1)/10,0)*10,[1]Hugst!$R$4:$W$4,0))))</f>
        <v>0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*VLOOKUP(A193,Skovbrug!$A$13:$D$17,IF('Skovbrug-alder'!C193&lt;=År2,3,4),FALSE)-IF(C193&gt;2020,SUM(INDEX($C$1:$D$311,MATCH(1,(2020=$C$1:$C$311)*(B193=$B$1:$B$311)*(A193=$A$1:$A$311),0),2):D192),0))</f>
        <v>0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8">
        <f ca="1">IF($C193-G$1&lt;År1,0,F192*(1-VLOOKUP($A193,[1]Hugst!$R$5:$W$9,MATCH(ROUNDUP((G$1)/10,0)*10,[1]Hugst!$R$4:$W$4,0))))</f>
        <v>0</v>
      </c>
      <c r="H193" s="168">
        <f ca="1">IF($C193-H$1&lt;År1,0,G192*(1-VLOOKUP($A193,[1]Hugst!$R$5:$W$9,MATCH(ROUNDUP((H$1)/10,0)*10,[1]Hugst!$R$4:$W$4,0))))</f>
        <v>0</v>
      </c>
      <c r="I193" s="168">
        <f ca="1">IF($C193-I$1&lt;År1,0,H192*(1-VLOOKUP($A193,[1]Hugst!$R$5:$W$9,MATCH(ROUNDUP((I$1)/10,0)*10,[1]Hugst!$R$4:$W$4,0))))</f>
        <v>0</v>
      </c>
      <c r="J193" s="168">
        <f ca="1">IF($C193-J$1&lt;År1,0,I192*(1-VLOOKUP($A193,[1]Hugst!$R$5:$W$9,MATCH(ROUNDUP((J$1)/10,0)*10,[1]Hugst!$R$4:$W$4,0))))</f>
        <v>0</v>
      </c>
      <c r="K193" s="168">
        <f ca="1">IF($C193-K$1&lt;År1,0,J192*(1-VLOOKUP($A193,[1]Hugst!$R$5:$W$9,MATCH(ROUNDUP((K$1)/10,0)*10,[1]Hugst!$R$4:$W$4,0))))</f>
        <v>0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*VLOOKUP(A194,Skovbrug!$A$13:$D$17,IF('Skovbrug-alder'!C194&lt;=År2,3,4),FALSE)-IF(C194&gt;2020,SUM(INDEX($C$1:$D$311,MATCH(1,(2020=$C$1:$C$311)*(B194=$B$1:$B$311)*(A194=$A$1:$A$311),0),2):D193),0))</f>
        <v>0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8">
        <f ca="1">IF($C194-G$1&lt;År1,0,F193*(1-VLOOKUP($A194,[1]Hugst!$R$5:$W$9,MATCH(ROUNDUP((G$1)/10,0)*10,[1]Hugst!$R$4:$W$4,0))))</f>
        <v>0</v>
      </c>
      <c r="H194" s="168">
        <f ca="1">IF($C194-H$1&lt;År1,0,G193*(1-VLOOKUP($A194,[1]Hugst!$R$5:$W$9,MATCH(ROUNDUP((H$1)/10,0)*10,[1]Hugst!$R$4:$W$4,0))))</f>
        <v>0</v>
      </c>
      <c r="I194" s="168">
        <f ca="1">IF($C194-I$1&lt;År1,0,H193*(1-VLOOKUP($A194,[1]Hugst!$R$5:$W$9,MATCH(ROUNDUP((I$1)/10,0)*10,[1]Hugst!$R$4:$W$4,0))))</f>
        <v>0</v>
      </c>
      <c r="J194" s="168">
        <f ca="1">IF($C194-J$1&lt;År1,0,I193*(1-VLOOKUP($A194,[1]Hugst!$R$5:$W$9,MATCH(ROUNDUP((J$1)/10,0)*10,[1]Hugst!$R$4:$W$4,0))))</f>
        <v>0</v>
      </c>
      <c r="K194" s="168">
        <f ca="1">IF($C194-K$1&lt;År1,0,J193*(1-VLOOKUP($A194,[1]Hugst!$R$5:$W$9,MATCH(ROUNDUP((K$1)/10,0)*10,[1]Hugst!$R$4:$W$4,0))))</f>
        <v>0</v>
      </c>
      <c r="L194" s="168">
        <f ca="1">IF($C194-L$1&lt;År1,0,K193*(1-VLOOKUP($A194,[1]Hugst!$R$5:$W$9,MATCH(ROUNDUP((L$1)/10,0)*10,[1]Hugst!$R$4:$W$4,0))))</f>
        <v>0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*VLOOKUP(A195,Skovbrug!$A$13:$D$17,IF('Skovbrug-alder'!C195&lt;=År2,3,4),FALSE)-IF(C195&gt;2020,SUM(INDEX($C$1:$D$311,MATCH(1,(2020=$C$1:$C$311)*(B195=$B$1:$B$311)*(A195=$A$1:$A$311),0),2):D194),0))</f>
        <v>0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8">
        <f ca="1">IF($C195-G$1&lt;År1,0,F194*(1-VLOOKUP($A195,[1]Hugst!$R$5:$W$9,MATCH(ROUNDUP((G$1)/10,0)*10,[1]Hugst!$R$4:$W$4,0))))</f>
        <v>0</v>
      </c>
      <c r="H195" s="168">
        <f ca="1">IF($C195-H$1&lt;År1,0,G194*(1-VLOOKUP($A195,[1]Hugst!$R$5:$W$9,MATCH(ROUNDUP((H$1)/10,0)*10,[1]Hugst!$R$4:$W$4,0))))</f>
        <v>0</v>
      </c>
      <c r="I195" s="168">
        <f ca="1">IF($C195-I$1&lt;År1,0,H194*(1-VLOOKUP($A195,[1]Hugst!$R$5:$W$9,MATCH(ROUNDUP((I$1)/10,0)*10,[1]Hugst!$R$4:$W$4,0))))</f>
        <v>0</v>
      </c>
      <c r="J195" s="168">
        <f ca="1">IF($C195-J$1&lt;År1,0,I194*(1-VLOOKUP($A195,[1]Hugst!$R$5:$W$9,MATCH(ROUNDUP((J$1)/10,0)*10,[1]Hugst!$R$4:$W$4,0))))</f>
        <v>0</v>
      </c>
      <c r="K195" s="168">
        <f ca="1">IF($C195-K$1&lt;År1,0,J194*(1-VLOOKUP($A195,[1]Hugst!$R$5:$W$9,MATCH(ROUNDUP((K$1)/10,0)*10,[1]Hugst!$R$4:$W$4,0))))</f>
        <v>0</v>
      </c>
      <c r="L195" s="168">
        <f ca="1">IF($C195-L$1&lt;År1,0,K194*(1-VLOOKUP($A195,[1]Hugst!$R$5:$W$9,MATCH(ROUNDUP((L$1)/10,0)*10,[1]Hugst!$R$4:$W$4,0))))</f>
        <v>0</v>
      </c>
      <c r="M195" s="168">
        <f ca="1">IF($C195-M$1&lt;År1,0,L194*(1-VLOOKUP($A195,[1]Hugst!$R$5:$W$9,MATCH(ROUNDUP((M$1)/10,0)*10,[1]Hugst!$R$4:$W$4,0))))</f>
        <v>0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*VLOOKUP(A196,Skovbrug!$A$13:$D$17,IF('Skovbrug-alder'!C196&lt;=År2,3,4),FALSE)-IF(C196&gt;2020,SUM(INDEX($C$1:$D$311,MATCH(1,(2020=$C$1:$C$311)*(B196=$B$1:$B$311)*(A196=$A$1:$A$311),0),2):D195),0))</f>
        <v>0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8">
        <f ca="1">IF($C196-G$1&lt;År1,0,F195*(1-VLOOKUP($A196,[1]Hugst!$R$5:$W$9,MATCH(ROUNDUP((G$1)/10,0)*10,[1]Hugst!$R$4:$W$4,0))))</f>
        <v>0</v>
      </c>
      <c r="H196" s="168">
        <f ca="1">IF($C196-H$1&lt;År1,0,G195*(1-VLOOKUP($A196,[1]Hugst!$R$5:$W$9,MATCH(ROUNDUP((H$1)/10,0)*10,[1]Hugst!$R$4:$W$4,0))))</f>
        <v>0</v>
      </c>
      <c r="I196" s="168">
        <f ca="1">IF($C196-I$1&lt;År1,0,H195*(1-VLOOKUP($A196,[1]Hugst!$R$5:$W$9,MATCH(ROUNDUP((I$1)/10,0)*10,[1]Hugst!$R$4:$W$4,0))))</f>
        <v>0</v>
      </c>
      <c r="J196" s="168">
        <f ca="1">IF($C196-J$1&lt;År1,0,I195*(1-VLOOKUP($A196,[1]Hugst!$R$5:$W$9,MATCH(ROUNDUP((J$1)/10,0)*10,[1]Hugst!$R$4:$W$4,0))))</f>
        <v>0</v>
      </c>
      <c r="K196" s="168">
        <f ca="1">IF($C196-K$1&lt;År1,0,J195*(1-VLOOKUP($A196,[1]Hugst!$R$5:$W$9,MATCH(ROUNDUP((K$1)/10,0)*10,[1]Hugst!$R$4:$W$4,0))))</f>
        <v>0</v>
      </c>
      <c r="L196" s="168">
        <f ca="1">IF($C196-L$1&lt;År1,0,K195*(1-VLOOKUP($A196,[1]Hugst!$R$5:$W$9,MATCH(ROUNDUP((L$1)/10,0)*10,[1]Hugst!$R$4:$W$4,0))))</f>
        <v>0</v>
      </c>
      <c r="M196" s="168">
        <f ca="1">IF($C196-M$1&lt;År1,0,L195*(1-VLOOKUP($A196,[1]Hugst!$R$5:$W$9,MATCH(ROUNDUP((M$1)/10,0)*10,[1]Hugst!$R$4:$W$4,0))))</f>
        <v>0</v>
      </c>
      <c r="N196" s="168">
        <f ca="1">IF($C196-N$1&lt;År1,0,M195*(1-VLOOKUP($A196,[1]Hugst!$R$5:$W$9,MATCH(ROUNDUP((N$1)/10,0)*10,[1]Hugst!$R$4:$W$4,0))))</f>
        <v>0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*VLOOKUP(A197,Skovbrug!$A$13:$D$17,IF('Skovbrug-alder'!C197&lt;=År2,3,4),FALSE)-IF(C197&gt;2020,SUM(INDEX($C$1:$D$311,MATCH(1,(2020=$C$1:$C$311)*(B197=$B$1:$B$311)*(A197=$A$1:$A$311),0),2):D196),0))</f>
        <v>0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8">
        <f ca="1">IF($C197-G$1&lt;År1,0,F196*(1-VLOOKUP($A197,[1]Hugst!$R$5:$W$9,MATCH(ROUNDUP((G$1)/10,0)*10,[1]Hugst!$R$4:$W$4,0))))</f>
        <v>0</v>
      </c>
      <c r="H197" s="168">
        <f ca="1">IF($C197-H$1&lt;År1,0,G196*(1-VLOOKUP($A197,[1]Hugst!$R$5:$W$9,MATCH(ROUNDUP((H$1)/10,0)*10,[1]Hugst!$R$4:$W$4,0))))</f>
        <v>0</v>
      </c>
      <c r="I197" s="168">
        <f ca="1">IF($C197-I$1&lt;År1,0,H196*(1-VLOOKUP($A197,[1]Hugst!$R$5:$W$9,MATCH(ROUNDUP((I$1)/10,0)*10,[1]Hugst!$R$4:$W$4,0))))</f>
        <v>0</v>
      </c>
      <c r="J197" s="168">
        <f ca="1">IF($C197-J$1&lt;År1,0,I196*(1-VLOOKUP($A197,[1]Hugst!$R$5:$W$9,MATCH(ROUNDUP((J$1)/10,0)*10,[1]Hugst!$R$4:$W$4,0))))</f>
        <v>0</v>
      </c>
      <c r="K197" s="168">
        <f ca="1">IF($C197-K$1&lt;År1,0,J196*(1-VLOOKUP($A197,[1]Hugst!$R$5:$W$9,MATCH(ROUNDUP((K$1)/10,0)*10,[1]Hugst!$R$4:$W$4,0))))</f>
        <v>0</v>
      </c>
      <c r="L197" s="168">
        <f ca="1">IF($C197-L$1&lt;År1,0,K196*(1-VLOOKUP($A197,[1]Hugst!$R$5:$W$9,MATCH(ROUNDUP((L$1)/10,0)*10,[1]Hugst!$R$4:$W$4,0))))</f>
        <v>0</v>
      </c>
      <c r="M197" s="168">
        <f ca="1">IF($C197-M$1&lt;År1,0,L196*(1-VLOOKUP($A197,[1]Hugst!$R$5:$W$9,MATCH(ROUNDUP((M$1)/10,0)*10,[1]Hugst!$R$4:$W$4,0))))</f>
        <v>0</v>
      </c>
      <c r="N197" s="168">
        <f ca="1">IF($C197-N$1&lt;År1,0,M196*(1-VLOOKUP($A197,[1]Hugst!$R$5:$W$9,MATCH(ROUNDUP((N$1)/10,0)*10,[1]Hugst!$R$4:$W$4,0))))</f>
        <v>0</v>
      </c>
      <c r="O197" s="168">
        <f ca="1">IF($C197-O$1&lt;År1,0,N196*(1-VLOOKUP($A197,[1]Hugst!$R$5:$W$9,MATCH(ROUNDUP((O$1)/10,0)*10,[1]Hugst!$R$4:$W$4,0))))</f>
        <v>0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*VLOOKUP(A198,Skovbrug!$A$13:$D$17,IF('Skovbrug-alder'!C198&lt;=År2,3,4),FALSE)-IF(C198&gt;2020,SUM(INDEX($C$1:$D$311,MATCH(1,(2020=$C$1:$C$311)*(B198=$B$1:$B$311)*(A198=$A$1:$A$311),0),2):D197),0))</f>
        <v>0</v>
      </c>
      <c r="E198" s="168">
        <f t="shared" ca="1" si="4"/>
        <v>0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8">
        <f ca="1">IF($C198-G$1&lt;År1,0,F197*(1-VLOOKUP($A198,[1]Hugst!$R$5:$W$9,MATCH(ROUNDUP((G$1)/10,0)*10,[1]Hugst!$R$4:$W$4,0))))</f>
        <v>0</v>
      </c>
      <c r="H198" s="168">
        <f ca="1">IF($C198-H$1&lt;År1,0,G197*(1-VLOOKUP($A198,[1]Hugst!$R$5:$W$9,MATCH(ROUNDUP((H$1)/10,0)*10,[1]Hugst!$R$4:$W$4,0))))</f>
        <v>0</v>
      </c>
      <c r="I198" s="168">
        <f ca="1">IF($C198-I$1&lt;År1,0,H197*(1-VLOOKUP($A198,[1]Hugst!$R$5:$W$9,MATCH(ROUNDUP((I$1)/10,0)*10,[1]Hugst!$R$4:$W$4,0))))</f>
        <v>0</v>
      </c>
      <c r="J198" s="168">
        <f ca="1">IF($C198-J$1&lt;År1,0,I197*(1-VLOOKUP($A198,[1]Hugst!$R$5:$W$9,MATCH(ROUNDUP((J$1)/10,0)*10,[1]Hugst!$R$4:$W$4,0))))</f>
        <v>0</v>
      </c>
      <c r="K198" s="168">
        <f ca="1">IF($C198-K$1&lt;År1,0,J197*(1-VLOOKUP($A198,[1]Hugst!$R$5:$W$9,MATCH(ROUNDUP((K$1)/10,0)*10,[1]Hugst!$R$4:$W$4,0))))</f>
        <v>0</v>
      </c>
      <c r="L198" s="168">
        <f ca="1">IF($C198-L$1&lt;År1,0,K197*(1-VLOOKUP($A198,[1]Hugst!$R$5:$W$9,MATCH(ROUNDUP((L$1)/10,0)*10,[1]Hugst!$R$4:$W$4,0))))</f>
        <v>0</v>
      </c>
      <c r="M198" s="168">
        <f ca="1">IF($C198-M$1&lt;År1,0,L197*(1-VLOOKUP($A198,[1]Hugst!$R$5:$W$9,MATCH(ROUNDUP((M$1)/10,0)*10,[1]Hugst!$R$4:$W$4,0))))</f>
        <v>0</v>
      </c>
      <c r="N198" s="168">
        <f ca="1">IF($C198-N$1&lt;År1,0,M197*(1-VLOOKUP($A198,[1]Hugst!$R$5:$W$9,MATCH(ROUNDUP((N$1)/10,0)*10,[1]Hugst!$R$4:$W$4,0))))</f>
        <v>0</v>
      </c>
      <c r="O198" s="168">
        <f ca="1">IF($C198-O$1&lt;År1,0,N197*(1-VLOOKUP($A198,[1]Hugst!$R$5:$W$9,MATCH(ROUNDUP((O$1)/10,0)*10,[1]Hugst!$R$4:$W$4,0))))</f>
        <v>0</v>
      </c>
      <c r="P198" s="168">
        <f ca="1">IF($C198-P$1&lt;År1,0,O197*(1-VLOOKUP($A198,[1]Hugst!$R$5:$W$9,MATCH(ROUNDUP((P$1)/10,0)*10,[1]Hugst!$R$4:$W$4,0))))</f>
        <v>0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*VLOOKUP(A199,Skovbrug!$A$13:$D$17,IF('Skovbrug-alder'!C199&lt;=År2,3,4),FALSE)-IF(C199&gt;2020,SUM(INDEX($C$1:$D$311,MATCH(1,(2020=$C$1:$C$311)*(B199=$B$1:$B$311)*(A199=$A$1:$A$311),0),2):D198),0))</f>
        <v>0</v>
      </c>
      <c r="E199" s="168">
        <f t="shared" ca="1" si="4"/>
        <v>0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8">
        <f ca="1">IF($C199-G$1&lt;År1,0,F198*(1-VLOOKUP($A199,[1]Hugst!$R$5:$W$9,MATCH(ROUNDUP((G$1)/10,0)*10,[1]Hugst!$R$4:$W$4,0))))</f>
        <v>0</v>
      </c>
      <c r="H199" s="168">
        <f ca="1">IF($C199-H$1&lt;År1,0,G198*(1-VLOOKUP($A199,[1]Hugst!$R$5:$W$9,MATCH(ROUNDUP((H$1)/10,0)*10,[1]Hugst!$R$4:$W$4,0))))</f>
        <v>0</v>
      </c>
      <c r="I199" s="168">
        <f ca="1">IF($C199-I$1&lt;År1,0,H198*(1-VLOOKUP($A199,[1]Hugst!$R$5:$W$9,MATCH(ROUNDUP((I$1)/10,0)*10,[1]Hugst!$R$4:$W$4,0))))</f>
        <v>0</v>
      </c>
      <c r="J199" s="168">
        <f ca="1">IF($C199-J$1&lt;År1,0,I198*(1-VLOOKUP($A199,[1]Hugst!$R$5:$W$9,MATCH(ROUNDUP((J$1)/10,0)*10,[1]Hugst!$R$4:$W$4,0))))</f>
        <v>0</v>
      </c>
      <c r="K199" s="168">
        <f ca="1">IF($C199-K$1&lt;År1,0,J198*(1-VLOOKUP($A199,[1]Hugst!$R$5:$W$9,MATCH(ROUNDUP((K$1)/10,0)*10,[1]Hugst!$R$4:$W$4,0))))</f>
        <v>0</v>
      </c>
      <c r="L199" s="168">
        <f ca="1">IF($C199-L$1&lt;År1,0,K198*(1-VLOOKUP($A199,[1]Hugst!$R$5:$W$9,MATCH(ROUNDUP((L$1)/10,0)*10,[1]Hugst!$R$4:$W$4,0))))</f>
        <v>0</v>
      </c>
      <c r="M199" s="168">
        <f ca="1">IF($C199-M$1&lt;År1,0,L198*(1-VLOOKUP($A199,[1]Hugst!$R$5:$W$9,MATCH(ROUNDUP((M$1)/10,0)*10,[1]Hugst!$R$4:$W$4,0))))</f>
        <v>0</v>
      </c>
      <c r="N199" s="168">
        <f ca="1">IF($C199-N$1&lt;År1,0,M198*(1-VLOOKUP($A199,[1]Hugst!$R$5:$W$9,MATCH(ROUNDUP((N$1)/10,0)*10,[1]Hugst!$R$4:$W$4,0))))</f>
        <v>0</v>
      </c>
      <c r="O199" s="168">
        <f ca="1">IF($C199-O$1&lt;År1,0,N198*(1-VLOOKUP($A199,[1]Hugst!$R$5:$W$9,MATCH(ROUNDUP((O$1)/10,0)*10,[1]Hugst!$R$4:$W$4,0))))</f>
        <v>0</v>
      </c>
      <c r="P199" s="168">
        <f ca="1">IF($C199-P$1&lt;År1,0,O198*(1-VLOOKUP($A199,[1]Hugst!$R$5:$W$9,MATCH(ROUNDUP((P$1)/10,0)*10,[1]Hugst!$R$4:$W$4,0))))</f>
        <v>0</v>
      </c>
      <c r="Q199" s="168">
        <f ca="1">IF($C199-Q$1&lt;År1,0,P198*(1-VLOOKUP($A199,[1]Hugst!$R$5:$W$9,MATCH(ROUNDUP((Q$1)/10,0)*10,[1]Hugst!$R$4:$W$4,0))))</f>
        <v>0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*VLOOKUP(A200,Skovbrug!$A$13:$D$17,IF('Skovbrug-alder'!C200&lt;=År2,3,4),FALSE)-IF(C200&gt;2020,SUM(INDEX($C$1:$D$311,MATCH(1,(2020=$C$1:$C$311)*(B200=$B$1:$B$311)*(A200=$A$1:$A$311),0),2):D199),0))</f>
        <v>0</v>
      </c>
      <c r="E200" s="168">
        <f t="shared" ca="1" si="4"/>
        <v>0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8">
        <f ca="1">IF($C200-G$1&lt;År1,0,F199*(1-VLOOKUP($A200,[1]Hugst!$R$5:$W$9,MATCH(ROUNDUP((G$1)/10,0)*10,[1]Hugst!$R$4:$W$4,0))))</f>
        <v>0</v>
      </c>
      <c r="H200" s="168">
        <f ca="1">IF($C200-H$1&lt;År1,0,G199*(1-VLOOKUP($A200,[1]Hugst!$R$5:$W$9,MATCH(ROUNDUP((H$1)/10,0)*10,[1]Hugst!$R$4:$W$4,0))))</f>
        <v>0</v>
      </c>
      <c r="I200" s="168">
        <f ca="1">IF($C200-I$1&lt;År1,0,H199*(1-VLOOKUP($A200,[1]Hugst!$R$5:$W$9,MATCH(ROUNDUP((I$1)/10,0)*10,[1]Hugst!$R$4:$W$4,0))))</f>
        <v>0</v>
      </c>
      <c r="J200" s="168">
        <f ca="1">IF($C200-J$1&lt;År1,0,I199*(1-VLOOKUP($A200,[1]Hugst!$R$5:$W$9,MATCH(ROUNDUP((J$1)/10,0)*10,[1]Hugst!$R$4:$W$4,0))))</f>
        <v>0</v>
      </c>
      <c r="K200" s="168">
        <f ca="1">IF($C200-K$1&lt;År1,0,J199*(1-VLOOKUP($A200,[1]Hugst!$R$5:$W$9,MATCH(ROUNDUP((K$1)/10,0)*10,[1]Hugst!$R$4:$W$4,0))))</f>
        <v>0</v>
      </c>
      <c r="L200" s="168">
        <f ca="1">IF($C200-L$1&lt;År1,0,K199*(1-VLOOKUP($A200,[1]Hugst!$R$5:$W$9,MATCH(ROUNDUP((L$1)/10,0)*10,[1]Hugst!$R$4:$W$4,0))))</f>
        <v>0</v>
      </c>
      <c r="M200" s="168">
        <f ca="1">IF($C200-M$1&lt;År1,0,L199*(1-VLOOKUP($A200,[1]Hugst!$R$5:$W$9,MATCH(ROUNDUP((M$1)/10,0)*10,[1]Hugst!$R$4:$W$4,0))))</f>
        <v>0</v>
      </c>
      <c r="N200" s="168">
        <f ca="1">IF($C200-N$1&lt;År1,0,M199*(1-VLOOKUP($A200,[1]Hugst!$R$5:$W$9,MATCH(ROUNDUP((N$1)/10,0)*10,[1]Hugst!$R$4:$W$4,0))))</f>
        <v>0</v>
      </c>
      <c r="O200" s="168">
        <f ca="1">IF($C200-O$1&lt;År1,0,N199*(1-VLOOKUP($A200,[1]Hugst!$R$5:$W$9,MATCH(ROUNDUP((O$1)/10,0)*10,[1]Hugst!$R$4:$W$4,0))))</f>
        <v>0</v>
      </c>
      <c r="P200" s="168">
        <f ca="1">IF($C200-P$1&lt;År1,0,O199*(1-VLOOKUP($A200,[1]Hugst!$R$5:$W$9,MATCH(ROUNDUP((P$1)/10,0)*10,[1]Hugst!$R$4:$W$4,0))))</f>
        <v>0</v>
      </c>
      <c r="Q200" s="168">
        <f ca="1">IF($C200-Q$1&lt;År1,0,P199*(1-VLOOKUP($A200,[1]Hugst!$R$5:$W$9,MATCH(ROUNDUP((Q$1)/10,0)*10,[1]Hugst!$R$4:$W$4,0))))</f>
        <v>0</v>
      </c>
      <c r="R200" s="168">
        <f ca="1">IF($C200-R$1&lt;År1,0,Q199*(1-VLOOKUP($A200,[1]Hugst!$R$5:$W$9,MATCH(ROUNDUP((R$1)/10,0)*10,[1]Hugst!$R$4:$W$4,0))))</f>
        <v>0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*VLOOKUP(A201,Skovbrug!$A$13:$D$17,IF('Skovbrug-alder'!C201&lt;=År2,3,4),FALSE)-IF(C201&gt;2020,SUM(INDEX($C$1:$D$311,MATCH(1,(2020=$C$1:$C$311)*(B201=$B$1:$B$311)*(A201=$A$1:$A$311),0),2):D200),0))</f>
        <v>0</v>
      </c>
      <c r="E201" s="168">
        <f t="shared" ca="1" si="4"/>
        <v>0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8">
        <f ca="1">IF($C201-G$1&lt;År1,0,F200*(1-VLOOKUP($A201,[1]Hugst!$R$5:$W$9,MATCH(ROUNDUP((G$1)/10,0)*10,[1]Hugst!$R$4:$W$4,0))))</f>
        <v>0</v>
      </c>
      <c r="H201" s="168">
        <f ca="1">IF($C201-H$1&lt;År1,0,G200*(1-VLOOKUP($A201,[1]Hugst!$R$5:$W$9,MATCH(ROUNDUP((H$1)/10,0)*10,[1]Hugst!$R$4:$W$4,0))))</f>
        <v>0</v>
      </c>
      <c r="I201" s="168">
        <f ca="1">IF($C201-I$1&lt;År1,0,H200*(1-VLOOKUP($A201,[1]Hugst!$R$5:$W$9,MATCH(ROUNDUP((I$1)/10,0)*10,[1]Hugst!$R$4:$W$4,0))))</f>
        <v>0</v>
      </c>
      <c r="J201" s="168">
        <f ca="1">IF($C201-J$1&lt;År1,0,I200*(1-VLOOKUP($A201,[1]Hugst!$R$5:$W$9,MATCH(ROUNDUP((J$1)/10,0)*10,[1]Hugst!$R$4:$W$4,0))))</f>
        <v>0</v>
      </c>
      <c r="K201" s="168">
        <f ca="1">IF($C201-K$1&lt;År1,0,J200*(1-VLOOKUP($A201,[1]Hugst!$R$5:$W$9,MATCH(ROUNDUP((K$1)/10,0)*10,[1]Hugst!$R$4:$W$4,0))))</f>
        <v>0</v>
      </c>
      <c r="L201" s="168">
        <f ca="1">IF($C201-L$1&lt;År1,0,K200*(1-VLOOKUP($A201,[1]Hugst!$R$5:$W$9,MATCH(ROUNDUP((L$1)/10,0)*10,[1]Hugst!$R$4:$W$4,0))))</f>
        <v>0</v>
      </c>
      <c r="M201" s="168">
        <f ca="1">IF($C201-M$1&lt;År1,0,L200*(1-VLOOKUP($A201,[1]Hugst!$R$5:$W$9,MATCH(ROUNDUP((M$1)/10,0)*10,[1]Hugst!$R$4:$W$4,0))))</f>
        <v>0</v>
      </c>
      <c r="N201" s="168">
        <f ca="1">IF($C201-N$1&lt;År1,0,M200*(1-VLOOKUP($A201,[1]Hugst!$R$5:$W$9,MATCH(ROUNDUP((N$1)/10,0)*10,[1]Hugst!$R$4:$W$4,0))))</f>
        <v>0</v>
      </c>
      <c r="O201" s="168">
        <f ca="1">IF($C201-O$1&lt;År1,0,N200*(1-VLOOKUP($A201,[1]Hugst!$R$5:$W$9,MATCH(ROUNDUP((O$1)/10,0)*10,[1]Hugst!$R$4:$W$4,0))))</f>
        <v>0</v>
      </c>
      <c r="P201" s="168">
        <f ca="1">IF($C201-P$1&lt;År1,0,O200*(1-VLOOKUP($A201,[1]Hugst!$R$5:$W$9,MATCH(ROUNDUP((P$1)/10,0)*10,[1]Hugst!$R$4:$W$4,0))))</f>
        <v>0</v>
      </c>
      <c r="Q201" s="168">
        <f ca="1">IF($C201-Q$1&lt;År1,0,P200*(1-VLOOKUP($A201,[1]Hugst!$R$5:$W$9,MATCH(ROUNDUP((Q$1)/10,0)*10,[1]Hugst!$R$4:$W$4,0))))</f>
        <v>0</v>
      </c>
      <c r="R201" s="168">
        <f ca="1">IF($C201-R$1&lt;År1,0,Q200*(1-VLOOKUP($A201,[1]Hugst!$R$5:$W$9,MATCH(ROUNDUP((R$1)/10,0)*10,[1]Hugst!$R$4:$W$4,0))))</f>
        <v>0</v>
      </c>
      <c r="S201" s="168">
        <f ca="1">IF($C201-S$1&lt;År1,0,R200*(1-VLOOKUP($A201,[1]Hugst!$R$5:$W$9,MATCH(ROUNDUP((S$1)/10,0)*10,[1]Hugst!$R$4:$W$4,0))))</f>
        <v>0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*VLOOKUP(A202,Skovbrug!$A$13:$D$17,IF('Skovbrug-alder'!C202&lt;=År2,3,4),FALSE)-IF(C202&gt;2020,SUM(INDEX($C$1:$D$311,MATCH(1,(2020=$C$1:$C$311)*(B202=$B$1:$B$311)*(A202=$A$1:$A$311),0),2):D201),0))</f>
        <v>0</v>
      </c>
      <c r="E202" s="168">
        <f t="shared" ca="1" si="4"/>
        <v>0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8">
        <f ca="1">IF($C202-G$1&lt;År1,0,F201*(1-VLOOKUP($A202,[1]Hugst!$R$5:$W$9,MATCH(ROUNDUP((G$1)/10,0)*10,[1]Hugst!$R$4:$W$4,0))))</f>
        <v>0</v>
      </c>
      <c r="H202" s="168">
        <f ca="1">IF($C202-H$1&lt;År1,0,G201*(1-VLOOKUP($A202,[1]Hugst!$R$5:$W$9,MATCH(ROUNDUP((H$1)/10,0)*10,[1]Hugst!$R$4:$W$4,0))))</f>
        <v>0</v>
      </c>
      <c r="I202" s="168">
        <f ca="1">IF($C202-I$1&lt;År1,0,H201*(1-VLOOKUP($A202,[1]Hugst!$R$5:$W$9,MATCH(ROUNDUP((I$1)/10,0)*10,[1]Hugst!$R$4:$W$4,0))))</f>
        <v>0</v>
      </c>
      <c r="J202" s="168">
        <f ca="1">IF($C202-J$1&lt;År1,0,I201*(1-VLOOKUP($A202,[1]Hugst!$R$5:$W$9,MATCH(ROUNDUP((J$1)/10,0)*10,[1]Hugst!$R$4:$W$4,0))))</f>
        <v>0</v>
      </c>
      <c r="K202" s="168">
        <f ca="1">IF($C202-K$1&lt;År1,0,J201*(1-VLOOKUP($A202,[1]Hugst!$R$5:$W$9,MATCH(ROUNDUP((K$1)/10,0)*10,[1]Hugst!$R$4:$W$4,0))))</f>
        <v>0</v>
      </c>
      <c r="L202" s="168">
        <f ca="1">IF($C202-L$1&lt;År1,0,K201*(1-VLOOKUP($A202,[1]Hugst!$R$5:$W$9,MATCH(ROUNDUP((L$1)/10,0)*10,[1]Hugst!$R$4:$W$4,0))))</f>
        <v>0</v>
      </c>
      <c r="M202" s="168">
        <f ca="1">IF($C202-M$1&lt;År1,0,L201*(1-VLOOKUP($A202,[1]Hugst!$R$5:$W$9,MATCH(ROUNDUP((M$1)/10,0)*10,[1]Hugst!$R$4:$W$4,0))))</f>
        <v>0</v>
      </c>
      <c r="N202" s="168">
        <f ca="1">IF($C202-N$1&lt;År1,0,M201*(1-VLOOKUP($A202,[1]Hugst!$R$5:$W$9,MATCH(ROUNDUP((N$1)/10,0)*10,[1]Hugst!$R$4:$W$4,0))))</f>
        <v>0</v>
      </c>
      <c r="O202" s="168">
        <f ca="1">IF($C202-O$1&lt;År1,0,N201*(1-VLOOKUP($A202,[1]Hugst!$R$5:$W$9,MATCH(ROUNDUP((O$1)/10,0)*10,[1]Hugst!$R$4:$W$4,0))))</f>
        <v>0</v>
      </c>
      <c r="P202" s="168">
        <f ca="1">IF($C202-P$1&lt;År1,0,O201*(1-VLOOKUP($A202,[1]Hugst!$R$5:$W$9,MATCH(ROUNDUP((P$1)/10,0)*10,[1]Hugst!$R$4:$W$4,0))))</f>
        <v>0</v>
      </c>
      <c r="Q202" s="168">
        <f ca="1">IF($C202-Q$1&lt;År1,0,P201*(1-VLOOKUP($A202,[1]Hugst!$R$5:$W$9,MATCH(ROUNDUP((Q$1)/10,0)*10,[1]Hugst!$R$4:$W$4,0))))</f>
        <v>0</v>
      </c>
      <c r="R202" s="168">
        <f ca="1">IF($C202-R$1&lt;År1,0,Q201*(1-VLOOKUP($A202,[1]Hugst!$R$5:$W$9,MATCH(ROUNDUP((R$1)/10,0)*10,[1]Hugst!$R$4:$W$4,0))))</f>
        <v>0</v>
      </c>
      <c r="S202" s="168">
        <f ca="1">IF($C202-S$1&lt;År1,0,R201*(1-VLOOKUP($A202,[1]Hugst!$R$5:$W$9,MATCH(ROUNDUP((S$1)/10,0)*10,[1]Hugst!$R$4:$W$4,0))))</f>
        <v>0</v>
      </c>
      <c r="T202" s="168">
        <f ca="1">IF($C202-T$1&lt;År1,0,S201*(1-VLOOKUP($A202,[1]Hugst!$R$5:$W$9,MATCH(ROUNDUP((T$1)/10,0)*10,[1]Hugst!$R$4:$W$4,0))))</f>
        <v>0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*VLOOKUP(A203,Skovbrug!$A$13:$D$17,IF('Skovbrug-alder'!C203&lt;=År2,3,4),FALSE)-IF(C203&gt;2020,SUM(INDEX($C$1:$D$311,MATCH(1,(2020=$C$1:$C$311)*(B203=$B$1:$B$311)*(A203=$A$1:$A$311),0),2):D202),0))</f>
        <v>0</v>
      </c>
      <c r="E203" s="168">
        <f t="shared" ca="1" si="4"/>
        <v>0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8">
        <f ca="1">IF($C203-G$1&lt;År1,0,F202*(1-VLOOKUP($A203,[1]Hugst!$R$5:$W$9,MATCH(ROUNDUP((G$1)/10,0)*10,[1]Hugst!$R$4:$W$4,0))))</f>
        <v>0</v>
      </c>
      <c r="H203" s="168">
        <f ca="1">IF($C203-H$1&lt;År1,0,G202*(1-VLOOKUP($A203,[1]Hugst!$R$5:$W$9,MATCH(ROUNDUP((H$1)/10,0)*10,[1]Hugst!$R$4:$W$4,0))))</f>
        <v>0</v>
      </c>
      <c r="I203" s="168">
        <f ca="1">IF($C203-I$1&lt;År1,0,H202*(1-VLOOKUP($A203,[1]Hugst!$R$5:$W$9,MATCH(ROUNDUP((I$1)/10,0)*10,[1]Hugst!$R$4:$W$4,0))))</f>
        <v>0</v>
      </c>
      <c r="J203" s="168">
        <f ca="1">IF($C203-J$1&lt;År1,0,I202*(1-VLOOKUP($A203,[1]Hugst!$R$5:$W$9,MATCH(ROUNDUP((J$1)/10,0)*10,[1]Hugst!$R$4:$W$4,0))))</f>
        <v>0</v>
      </c>
      <c r="K203" s="168">
        <f ca="1">IF($C203-K$1&lt;År1,0,J202*(1-VLOOKUP($A203,[1]Hugst!$R$5:$W$9,MATCH(ROUNDUP((K$1)/10,0)*10,[1]Hugst!$R$4:$W$4,0))))</f>
        <v>0</v>
      </c>
      <c r="L203" s="168">
        <f ca="1">IF($C203-L$1&lt;År1,0,K202*(1-VLOOKUP($A203,[1]Hugst!$R$5:$W$9,MATCH(ROUNDUP((L$1)/10,0)*10,[1]Hugst!$R$4:$W$4,0))))</f>
        <v>0</v>
      </c>
      <c r="M203" s="168">
        <f ca="1">IF($C203-M$1&lt;År1,0,L202*(1-VLOOKUP($A203,[1]Hugst!$R$5:$W$9,MATCH(ROUNDUP((M$1)/10,0)*10,[1]Hugst!$R$4:$W$4,0))))</f>
        <v>0</v>
      </c>
      <c r="N203" s="168">
        <f ca="1">IF($C203-N$1&lt;År1,0,M202*(1-VLOOKUP($A203,[1]Hugst!$R$5:$W$9,MATCH(ROUNDUP((N$1)/10,0)*10,[1]Hugst!$R$4:$W$4,0))))</f>
        <v>0</v>
      </c>
      <c r="O203" s="168">
        <f ca="1">IF($C203-O$1&lt;År1,0,N202*(1-VLOOKUP($A203,[1]Hugst!$R$5:$W$9,MATCH(ROUNDUP((O$1)/10,0)*10,[1]Hugst!$R$4:$W$4,0))))</f>
        <v>0</v>
      </c>
      <c r="P203" s="168">
        <f ca="1">IF($C203-P$1&lt;År1,0,O202*(1-VLOOKUP($A203,[1]Hugst!$R$5:$W$9,MATCH(ROUNDUP((P$1)/10,0)*10,[1]Hugst!$R$4:$W$4,0))))</f>
        <v>0</v>
      </c>
      <c r="Q203" s="168">
        <f ca="1">IF($C203-Q$1&lt;År1,0,P202*(1-VLOOKUP($A203,[1]Hugst!$R$5:$W$9,MATCH(ROUNDUP((Q$1)/10,0)*10,[1]Hugst!$R$4:$W$4,0))))</f>
        <v>0</v>
      </c>
      <c r="R203" s="168">
        <f ca="1">IF($C203-R$1&lt;År1,0,Q202*(1-VLOOKUP($A203,[1]Hugst!$R$5:$W$9,MATCH(ROUNDUP((R$1)/10,0)*10,[1]Hugst!$R$4:$W$4,0))))</f>
        <v>0</v>
      </c>
      <c r="S203" s="168">
        <f ca="1">IF($C203-S$1&lt;År1,0,R202*(1-VLOOKUP($A203,[1]Hugst!$R$5:$W$9,MATCH(ROUNDUP((S$1)/10,0)*10,[1]Hugst!$R$4:$W$4,0))))</f>
        <v>0</v>
      </c>
      <c r="T203" s="168">
        <f ca="1">IF($C203-T$1&lt;År1,0,S202*(1-VLOOKUP($A203,[1]Hugst!$R$5:$W$9,MATCH(ROUNDUP((T$1)/10,0)*10,[1]Hugst!$R$4:$W$4,0))))</f>
        <v>0</v>
      </c>
      <c r="U203" s="168">
        <f ca="1">IF($C203-U$1&lt;År1,0,T202*(1-VLOOKUP($A203,[1]Hugst!$R$5:$W$9,MATCH(ROUNDUP((U$1)/10,0)*10,[1]Hugst!$R$4:$W$4,0))))</f>
        <v>0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*VLOOKUP(A204,Skovbrug!$A$13:$D$17,IF('Skovbrug-alder'!C204&lt;=År2,3,4),FALSE)-IF(C204&gt;2020,SUM(INDEX($C$1:$D$311,MATCH(1,(2020=$C$1:$C$311)*(B204=$B$1:$B$311)*(A204=$A$1:$A$311),0),2):D203),0))</f>
        <v>0</v>
      </c>
      <c r="E204" s="168">
        <f t="shared" ca="1" si="4"/>
        <v>0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8">
        <f ca="1">IF($C204-G$1&lt;År1,0,F203*(1-VLOOKUP($A204,[1]Hugst!$R$5:$W$9,MATCH(ROUNDUP((G$1)/10,0)*10,[1]Hugst!$R$4:$W$4,0))))</f>
        <v>0</v>
      </c>
      <c r="H204" s="168">
        <f ca="1">IF($C204-H$1&lt;År1,0,G203*(1-VLOOKUP($A204,[1]Hugst!$R$5:$W$9,MATCH(ROUNDUP((H$1)/10,0)*10,[1]Hugst!$R$4:$W$4,0))))</f>
        <v>0</v>
      </c>
      <c r="I204" s="168">
        <f ca="1">IF($C204-I$1&lt;År1,0,H203*(1-VLOOKUP($A204,[1]Hugst!$R$5:$W$9,MATCH(ROUNDUP((I$1)/10,0)*10,[1]Hugst!$R$4:$W$4,0))))</f>
        <v>0</v>
      </c>
      <c r="J204" s="168">
        <f ca="1">IF($C204-J$1&lt;År1,0,I203*(1-VLOOKUP($A204,[1]Hugst!$R$5:$W$9,MATCH(ROUNDUP((J$1)/10,0)*10,[1]Hugst!$R$4:$W$4,0))))</f>
        <v>0</v>
      </c>
      <c r="K204" s="168">
        <f ca="1">IF($C204-K$1&lt;År1,0,J203*(1-VLOOKUP($A204,[1]Hugst!$R$5:$W$9,MATCH(ROUNDUP((K$1)/10,0)*10,[1]Hugst!$R$4:$W$4,0))))</f>
        <v>0</v>
      </c>
      <c r="L204" s="168">
        <f ca="1">IF($C204-L$1&lt;År1,0,K203*(1-VLOOKUP($A204,[1]Hugst!$R$5:$W$9,MATCH(ROUNDUP((L$1)/10,0)*10,[1]Hugst!$R$4:$W$4,0))))</f>
        <v>0</v>
      </c>
      <c r="M204" s="168">
        <f ca="1">IF($C204-M$1&lt;År1,0,L203*(1-VLOOKUP($A204,[1]Hugst!$R$5:$W$9,MATCH(ROUNDUP((M$1)/10,0)*10,[1]Hugst!$R$4:$W$4,0))))</f>
        <v>0</v>
      </c>
      <c r="N204" s="168">
        <f ca="1">IF($C204-N$1&lt;År1,0,M203*(1-VLOOKUP($A204,[1]Hugst!$R$5:$W$9,MATCH(ROUNDUP((N$1)/10,0)*10,[1]Hugst!$R$4:$W$4,0))))</f>
        <v>0</v>
      </c>
      <c r="O204" s="168">
        <f ca="1">IF($C204-O$1&lt;År1,0,N203*(1-VLOOKUP($A204,[1]Hugst!$R$5:$W$9,MATCH(ROUNDUP((O$1)/10,0)*10,[1]Hugst!$R$4:$W$4,0))))</f>
        <v>0</v>
      </c>
      <c r="P204" s="168">
        <f ca="1">IF($C204-P$1&lt;År1,0,O203*(1-VLOOKUP($A204,[1]Hugst!$R$5:$W$9,MATCH(ROUNDUP((P$1)/10,0)*10,[1]Hugst!$R$4:$W$4,0))))</f>
        <v>0</v>
      </c>
      <c r="Q204" s="168">
        <f ca="1">IF($C204-Q$1&lt;År1,0,P203*(1-VLOOKUP($A204,[1]Hugst!$R$5:$W$9,MATCH(ROUNDUP((Q$1)/10,0)*10,[1]Hugst!$R$4:$W$4,0))))</f>
        <v>0</v>
      </c>
      <c r="R204" s="168">
        <f ca="1">IF($C204-R$1&lt;År1,0,Q203*(1-VLOOKUP($A204,[1]Hugst!$R$5:$W$9,MATCH(ROUNDUP((R$1)/10,0)*10,[1]Hugst!$R$4:$W$4,0))))</f>
        <v>0</v>
      </c>
      <c r="S204" s="168">
        <f ca="1">IF($C204-S$1&lt;År1,0,R203*(1-VLOOKUP($A204,[1]Hugst!$R$5:$W$9,MATCH(ROUNDUP((S$1)/10,0)*10,[1]Hugst!$R$4:$W$4,0))))</f>
        <v>0</v>
      </c>
      <c r="T204" s="168">
        <f ca="1">IF($C204-T$1&lt;År1,0,S203*(1-VLOOKUP($A204,[1]Hugst!$R$5:$W$9,MATCH(ROUNDUP((T$1)/10,0)*10,[1]Hugst!$R$4:$W$4,0))))</f>
        <v>0</v>
      </c>
      <c r="U204" s="168">
        <f ca="1">IF($C204-U$1&lt;År1,0,T203*(1-VLOOKUP($A204,[1]Hugst!$R$5:$W$9,MATCH(ROUNDUP((U$1)/10,0)*10,[1]Hugst!$R$4:$W$4,0))))</f>
        <v>0</v>
      </c>
      <c r="V204" s="168">
        <f ca="1">IF($C204-V$1&lt;År1,0,U203*(1-VLOOKUP($A204,[1]Hugst!$R$5:$W$9,MATCH(ROUNDUP((V$1)/10,0)*10,[1]Hugst!$R$4:$W$4,0))))</f>
        <v>0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*VLOOKUP(A205,Skovbrug!$A$13:$D$17,IF('Skovbrug-alder'!C205&lt;=År2,3,4),FALSE)-IF(C205&gt;2020,SUM(INDEX($C$1:$D$311,MATCH(1,(2020=$C$1:$C$311)*(B205=$B$1:$B$311)*(A205=$A$1:$A$311),0),2):D204),0))</f>
        <v>0</v>
      </c>
      <c r="E205" s="168">
        <f t="shared" ca="1" si="4"/>
        <v>0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8">
        <f ca="1">IF($C205-G$1&lt;År1,0,F204*(1-VLOOKUP($A205,[1]Hugst!$R$5:$W$9,MATCH(ROUNDUP((G$1)/10,0)*10,[1]Hugst!$R$4:$W$4,0))))</f>
        <v>0</v>
      </c>
      <c r="H205" s="168">
        <f ca="1">IF($C205-H$1&lt;År1,0,G204*(1-VLOOKUP($A205,[1]Hugst!$R$5:$W$9,MATCH(ROUNDUP((H$1)/10,0)*10,[1]Hugst!$R$4:$W$4,0))))</f>
        <v>0</v>
      </c>
      <c r="I205" s="168">
        <f ca="1">IF($C205-I$1&lt;År1,0,H204*(1-VLOOKUP($A205,[1]Hugst!$R$5:$W$9,MATCH(ROUNDUP((I$1)/10,0)*10,[1]Hugst!$R$4:$W$4,0))))</f>
        <v>0</v>
      </c>
      <c r="J205" s="168">
        <f ca="1">IF($C205-J$1&lt;År1,0,I204*(1-VLOOKUP($A205,[1]Hugst!$R$5:$W$9,MATCH(ROUNDUP((J$1)/10,0)*10,[1]Hugst!$R$4:$W$4,0))))</f>
        <v>0</v>
      </c>
      <c r="K205" s="168">
        <f ca="1">IF($C205-K$1&lt;År1,0,J204*(1-VLOOKUP($A205,[1]Hugst!$R$5:$W$9,MATCH(ROUNDUP((K$1)/10,0)*10,[1]Hugst!$R$4:$W$4,0))))</f>
        <v>0</v>
      </c>
      <c r="L205" s="168">
        <f ca="1">IF($C205-L$1&lt;År1,0,K204*(1-VLOOKUP($A205,[1]Hugst!$R$5:$W$9,MATCH(ROUNDUP((L$1)/10,0)*10,[1]Hugst!$R$4:$W$4,0))))</f>
        <v>0</v>
      </c>
      <c r="M205" s="168">
        <f ca="1">IF($C205-M$1&lt;År1,0,L204*(1-VLOOKUP($A205,[1]Hugst!$R$5:$W$9,MATCH(ROUNDUP((M$1)/10,0)*10,[1]Hugst!$R$4:$W$4,0))))</f>
        <v>0</v>
      </c>
      <c r="N205" s="168">
        <f ca="1">IF($C205-N$1&lt;År1,0,M204*(1-VLOOKUP($A205,[1]Hugst!$R$5:$W$9,MATCH(ROUNDUP((N$1)/10,0)*10,[1]Hugst!$R$4:$W$4,0))))</f>
        <v>0</v>
      </c>
      <c r="O205" s="168">
        <f ca="1">IF($C205-O$1&lt;År1,0,N204*(1-VLOOKUP($A205,[1]Hugst!$R$5:$W$9,MATCH(ROUNDUP((O$1)/10,0)*10,[1]Hugst!$R$4:$W$4,0))))</f>
        <v>0</v>
      </c>
      <c r="P205" s="168">
        <f ca="1">IF($C205-P$1&lt;År1,0,O204*(1-VLOOKUP($A205,[1]Hugst!$R$5:$W$9,MATCH(ROUNDUP((P$1)/10,0)*10,[1]Hugst!$R$4:$W$4,0))))</f>
        <v>0</v>
      </c>
      <c r="Q205" s="168">
        <f ca="1">IF($C205-Q$1&lt;År1,0,P204*(1-VLOOKUP($A205,[1]Hugst!$R$5:$W$9,MATCH(ROUNDUP((Q$1)/10,0)*10,[1]Hugst!$R$4:$W$4,0))))</f>
        <v>0</v>
      </c>
      <c r="R205" s="168">
        <f ca="1">IF($C205-R$1&lt;År1,0,Q204*(1-VLOOKUP($A205,[1]Hugst!$R$5:$W$9,MATCH(ROUNDUP((R$1)/10,0)*10,[1]Hugst!$R$4:$W$4,0))))</f>
        <v>0</v>
      </c>
      <c r="S205" s="168">
        <f ca="1">IF($C205-S$1&lt;År1,0,R204*(1-VLOOKUP($A205,[1]Hugst!$R$5:$W$9,MATCH(ROUNDUP((S$1)/10,0)*10,[1]Hugst!$R$4:$W$4,0))))</f>
        <v>0</v>
      </c>
      <c r="T205" s="168">
        <f ca="1">IF($C205-T$1&lt;År1,0,S204*(1-VLOOKUP($A205,[1]Hugst!$R$5:$W$9,MATCH(ROUNDUP((T$1)/10,0)*10,[1]Hugst!$R$4:$W$4,0))))</f>
        <v>0</v>
      </c>
      <c r="U205" s="168">
        <f ca="1">IF($C205-U$1&lt;År1,0,T204*(1-VLOOKUP($A205,[1]Hugst!$R$5:$W$9,MATCH(ROUNDUP((U$1)/10,0)*10,[1]Hugst!$R$4:$W$4,0))))</f>
        <v>0</v>
      </c>
      <c r="V205" s="168">
        <f ca="1">IF($C205-V$1&lt;År1,0,U204*(1-VLOOKUP($A205,[1]Hugst!$R$5:$W$9,MATCH(ROUNDUP((V$1)/10,0)*10,[1]Hugst!$R$4:$W$4,0))))</f>
        <v>0</v>
      </c>
      <c r="W205" s="168">
        <f ca="1">IF($C205-W$1&lt;År1,0,V204*(1-VLOOKUP($A205,[1]Hugst!$R$5:$W$9,MATCH(ROUNDUP((W$1)/10,0)*10,[1]Hugst!$R$4:$W$4,0))))</f>
        <v>0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*VLOOKUP(A206,Skovbrug!$A$13:$D$17,IF('Skovbrug-alder'!C206&lt;=År2,3,4),FALSE)-IF(C206&gt;2020,SUM(INDEX($C$1:$D$311,MATCH(1,(2020=$C$1:$C$311)*(B206=$B$1:$B$311)*(A206=$A$1:$A$311),0),2):D205),0))</f>
        <v>0</v>
      </c>
      <c r="E206" s="168">
        <f t="shared" ca="1" si="4"/>
        <v>0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8">
        <f ca="1">IF($C206-G$1&lt;År1,0,F205*(1-VLOOKUP($A206,[1]Hugst!$R$5:$W$9,MATCH(ROUNDUP((G$1)/10,0)*10,[1]Hugst!$R$4:$W$4,0))))</f>
        <v>0</v>
      </c>
      <c r="H206" s="168">
        <f ca="1">IF($C206-H$1&lt;År1,0,G205*(1-VLOOKUP($A206,[1]Hugst!$R$5:$W$9,MATCH(ROUNDUP((H$1)/10,0)*10,[1]Hugst!$R$4:$W$4,0))))</f>
        <v>0</v>
      </c>
      <c r="I206" s="168">
        <f ca="1">IF($C206-I$1&lt;År1,0,H205*(1-VLOOKUP($A206,[1]Hugst!$R$5:$W$9,MATCH(ROUNDUP((I$1)/10,0)*10,[1]Hugst!$R$4:$W$4,0))))</f>
        <v>0</v>
      </c>
      <c r="J206" s="168">
        <f ca="1">IF($C206-J$1&lt;År1,0,I205*(1-VLOOKUP($A206,[1]Hugst!$R$5:$W$9,MATCH(ROUNDUP((J$1)/10,0)*10,[1]Hugst!$R$4:$W$4,0))))</f>
        <v>0</v>
      </c>
      <c r="K206" s="168">
        <f ca="1">IF($C206-K$1&lt;År1,0,J205*(1-VLOOKUP($A206,[1]Hugst!$R$5:$W$9,MATCH(ROUNDUP((K$1)/10,0)*10,[1]Hugst!$R$4:$W$4,0))))</f>
        <v>0</v>
      </c>
      <c r="L206" s="168">
        <f ca="1">IF($C206-L$1&lt;År1,0,K205*(1-VLOOKUP($A206,[1]Hugst!$R$5:$W$9,MATCH(ROUNDUP((L$1)/10,0)*10,[1]Hugst!$R$4:$W$4,0))))</f>
        <v>0</v>
      </c>
      <c r="M206" s="168">
        <f ca="1">IF($C206-M$1&lt;År1,0,L205*(1-VLOOKUP($A206,[1]Hugst!$R$5:$W$9,MATCH(ROUNDUP((M$1)/10,0)*10,[1]Hugst!$R$4:$W$4,0))))</f>
        <v>0</v>
      </c>
      <c r="N206" s="168">
        <f ca="1">IF($C206-N$1&lt;År1,0,M205*(1-VLOOKUP($A206,[1]Hugst!$R$5:$W$9,MATCH(ROUNDUP((N$1)/10,0)*10,[1]Hugst!$R$4:$W$4,0))))</f>
        <v>0</v>
      </c>
      <c r="O206" s="168">
        <f ca="1">IF($C206-O$1&lt;År1,0,N205*(1-VLOOKUP($A206,[1]Hugst!$R$5:$W$9,MATCH(ROUNDUP((O$1)/10,0)*10,[1]Hugst!$R$4:$W$4,0))))</f>
        <v>0</v>
      </c>
      <c r="P206" s="168">
        <f ca="1">IF($C206-P$1&lt;År1,0,O205*(1-VLOOKUP($A206,[1]Hugst!$R$5:$W$9,MATCH(ROUNDUP((P$1)/10,0)*10,[1]Hugst!$R$4:$W$4,0))))</f>
        <v>0</v>
      </c>
      <c r="Q206" s="168">
        <f ca="1">IF($C206-Q$1&lt;År1,0,P205*(1-VLOOKUP($A206,[1]Hugst!$R$5:$W$9,MATCH(ROUNDUP((Q$1)/10,0)*10,[1]Hugst!$R$4:$W$4,0))))</f>
        <v>0</v>
      </c>
      <c r="R206" s="168">
        <f ca="1">IF($C206-R$1&lt;År1,0,Q205*(1-VLOOKUP($A206,[1]Hugst!$R$5:$W$9,MATCH(ROUNDUP((R$1)/10,0)*10,[1]Hugst!$R$4:$W$4,0))))</f>
        <v>0</v>
      </c>
      <c r="S206" s="168">
        <f ca="1">IF($C206-S$1&lt;År1,0,R205*(1-VLOOKUP($A206,[1]Hugst!$R$5:$W$9,MATCH(ROUNDUP((S$1)/10,0)*10,[1]Hugst!$R$4:$W$4,0))))</f>
        <v>0</v>
      </c>
      <c r="T206" s="168">
        <f ca="1">IF($C206-T$1&lt;År1,0,S205*(1-VLOOKUP($A206,[1]Hugst!$R$5:$W$9,MATCH(ROUNDUP((T$1)/10,0)*10,[1]Hugst!$R$4:$W$4,0))))</f>
        <v>0</v>
      </c>
      <c r="U206" s="168">
        <f ca="1">IF($C206-U$1&lt;År1,0,T205*(1-VLOOKUP($A206,[1]Hugst!$R$5:$W$9,MATCH(ROUNDUP((U$1)/10,0)*10,[1]Hugst!$R$4:$W$4,0))))</f>
        <v>0</v>
      </c>
      <c r="V206" s="168">
        <f ca="1">IF($C206-V$1&lt;År1,0,U205*(1-VLOOKUP($A206,[1]Hugst!$R$5:$W$9,MATCH(ROUNDUP((V$1)/10,0)*10,[1]Hugst!$R$4:$W$4,0))))</f>
        <v>0</v>
      </c>
      <c r="W206" s="168">
        <f ca="1">IF($C206-W$1&lt;År1,0,V205*(1-VLOOKUP($A206,[1]Hugst!$R$5:$W$9,MATCH(ROUNDUP((W$1)/10,0)*10,[1]Hugst!$R$4:$W$4,0))))</f>
        <v>0</v>
      </c>
      <c r="X206" s="168">
        <f ca="1">IF($C206-X$1&lt;År1,0,W205*(1-VLOOKUP($A206,[1]Hugst!$R$5:$W$9,MATCH(ROUNDUP((X$1)/10,0)*10,[1]Hugst!$R$4:$W$4,0))))</f>
        <v>0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*VLOOKUP(A207,Skovbrug!$A$13:$D$17,IF('Skovbrug-alder'!C207&lt;=År2,3,4),FALSE)-IF(C207&gt;2020,SUM(INDEX($C$1:$D$311,MATCH(1,(2020=$C$1:$C$311)*(B207=$B$1:$B$311)*(A207=$A$1:$A$311),0),2):D206),0))</f>
        <v>0</v>
      </c>
      <c r="E207" s="168">
        <f t="shared" ca="1" si="4"/>
        <v>0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8">
        <f ca="1">IF($C207-G$1&lt;År1,0,F206*(1-VLOOKUP($A207,[1]Hugst!$R$5:$W$9,MATCH(ROUNDUP((G$1)/10,0)*10,[1]Hugst!$R$4:$W$4,0))))</f>
        <v>0</v>
      </c>
      <c r="H207" s="168">
        <f ca="1">IF($C207-H$1&lt;År1,0,G206*(1-VLOOKUP($A207,[1]Hugst!$R$5:$W$9,MATCH(ROUNDUP((H$1)/10,0)*10,[1]Hugst!$R$4:$W$4,0))))</f>
        <v>0</v>
      </c>
      <c r="I207" s="168">
        <f ca="1">IF($C207-I$1&lt;År1,0,H206*(1-VLOOKUP($A207,[1]Hugst!$R$5:$W$9,MATCH(ROUNDUP((I$1)/10,0)*10,[1]Hugst!$R$4:$W$4,0))))</f>
        <v>0</v>
      </c>
      <c r="J207" s="168">
        <f ca="1">IF($C207-J$1&lt;År1,0,I206*(1-VLOOKUP($A207,[1]Hugst!$R$5:$W$9,MATCH(ROUNDUP((J$1)/10,0)*10,[1]Hugst!$R$4:$W$4,0))))</f>
        <v>0</v>
      </c>
      <c r="K207" s="168">
        <f ca="1">IF($C207-K$1&lt;År1,0,J206*(1-VLOOKUP($A207,[1]Hugst!$R$5:$W$9,MATCH(ROUNDUP((K$1)/10,0)*10,[1]Hugst!$R$4:$W$4,0))))</f>
        <v>0</v>
      </c>
      <c r="L207" s="168">
        <f ca="1">IF($C207-L$1&lt;År1,0,K206*(1-VLOOKUP($A207,[1]Hugst!$R$5:$W$9,MATCH(ROUNDUP((L$1)/10,0)*10,[1]Hugst!$R$4:$W$4,0))))</f>
        <v>0</v>
      </c>
      <c r="M207" s="168">
        <f ca="1">IF($C207-M$1&lt;År1,0,L206*(1-VLOOKUP($A207,[1]Hugst!$R$5:$W$9,MATCH(ROUNDUP((M$1)/10,0)*10,[1]Hugst!$R$4:$W$4,0))))</f>
        <v>0</v>
      </c>
      <c r="N207" s="168">
        <f ca="1">IF($C207-N$1&lt;År1,0,M206*(1-VLOOKUP($A207,[1]Hugst!$R$5:$W$9,MATCH(ROUNDUP((N$1)/10,0)*10,[1]Hugst!$R$4:$W$4,0))))</f>
        <v>0</v>
      </c>
      <c r="O207" s="168">
        <f ca="1">IF($C207-O$1&lt;År1,0,N206*(1-VLOOKUP($A207,[1]Hugst!$R$5:$W$9,MATCH(ROUNDUP((O$1)/10,0)*10,[1]Hugst!$R$4:$W$4,0))))</f>
        <v>0</v>
      </c>
      <c r="P207" s="168">
        <f ca="1">IF($C207-P$1&lt;År1,0,O206*(1-VLOOKUP($A207,[1]Hugst!$R$5:$W$9,MATCH(ROUNDUP((P$1)/10,0)*10,[1]Hugst!$R$4:$W$4,0))))</f>
        <v>0</v>
      </c>
      <c r="Q207" s="168">
        <f ca="1">IF($C207-Q$1&lt;År1,0,P206*(1-VLOOKUP($A207,[1]Hugst!$R$5:$W$9,MATCH(ROUNDUP((Q$1)/10,0)*10,[1]Hugst!$R$4:$W$4,0))))</f>
        <v>0</v>
      </c>
      <c r="R207" s="168">
        <f ca="1">IF($C207-R$1&lt;År1,0,Q206*(1-VLOOKUP($A207,[1]Hugst!$R$5:$W$9,MATCH(ROUNDUP((R$1)/10,0)*10,[1]Hugst!$R$4:$W$4,0))))</f>
        <v>0</v>
      </c>
      <c r="S207" s="168">
        <f ca="1">IF($C207-S$1&lt;År1,0,R206*(1-VLOOKUP($A207,[1]Hugst!$R$5:$W$9,MATCH(ROUNDUP((S$1)/10,0)*10,[1]Hugst!$R$4:$W$4,0))))</f>
        <v>0</v>
      </c>
      <c r="T207" s="168">
        <f ca="1">IF($C207-T$1&lt;År1,0,S206*(1-VLOOKUP($A207,[1]Hugst!$R$5:$W$9,MATCH(ROUNDUP((T$1)/10,0)*10,[1]Hugst!$R$4:$W$4,0))))</f>
        <v>0</v>
      </c>
      <c r="U207" s="168">
        <f ca="1">IF($C207-U$1&lt;År1,0,T206*(1-VLOOKUP($A207,[1]Hugst!$R$5:$W$9,MATCH(ROUNDUP((U$1)/10,0)*10,[1]Hugst!$R$4:$W$4,0))))</f>
        <v>0</v>
      </c>
      <c r="V207" s="168">
        <f ca="1">IF($C207-V$1&lt;År1,0,U206*(1-VLOOKUP($A207,[1]Hugst!$R$5:$W$9,MATCH(ROUNDUP((V$1)/10,0)*10,[1]Hugst!$R$4:$W$4,0))))</f>
        <v>0</v>
      </c>
      <c r="W207" s="168">
        <f ca="1">IF($C207-W$1&lt;År1,0,V206*(1-VLOOKUP($A207,[1]Hugst!$R$5:$W$9,MATCH(ROUNDUP((W$1)/10,0)*10,[1]Hugst!$R$4:$W$4,0))))</f>
        <v>0</v>
      </c>
      <c r="X207" s="168">
        <f ca="1">IF($C207-X$1&lt;År1,0,W206*(1-VLOOKUP($A207,[1]Hugst!$R$5:$W$9,MATCH(ROUNDUP((X$1)/10,0)*10,[1]Hugst!$R$4:$W$4,0))))</f>
        <v>0</v>
      </c>
      <c r="Y207" s="168">
        <f ca="1">IF($C207-Y$1&lt;År1,0,X206*(1-VLOOKUP($A207,[1]Hugst!$R$5:$W$9,MATCH(ROUNDUP((Y$1)/10,0)*10,[1]Hugst!$R$4:$W$4,0))))</f>
        <v>0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*VLOOKUP(A208,Skovbrug!$A$13:$D$17,IF('Skovbrug-alder'!C208&lt;=År2,3,4),FALSE)-IF(C208&gt;2020,SUM(INDEX($C$1:$D$311,MATCH(1,(2020=$C$1:$C$311)*(B208=$B$1:$B$311)*(A208=$A$1:$A$311),0),2):D207),0))</f>
        <v>0</v>
      </c>
      <c r="E208" s="168">
        <f t="shared" ca="1" si="4"/>
        <v>0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8">
        <f ca="1">IF($C208-G$1&lt;År1,0,F207*(1-VLOOKUP($A208,[1]Hugst!$R$5:$W$9,MATCH(ROUNDUP((G$1)/10,0)*10,[1]Hugst!$R$4:$W$4,0))))</f>
        <v>0</v>
      </c>
      <c r="H208" s="168">
        <f ca="1">IF($C208-H$1&lt;År1,0,G207*(1-VLOOKUP($A208,[1]Hugst!$R$5:$W$9,MATCH(ROUNDUP((H$1)/10,0)*10,[1]Hugst!$R$4:$W$4,0))))</f>
        <v>0</v>
      </c>
      <c r="I208" s="168">
        <f ca="1">IF($C208-I$1&lt;År1,0,H207*(1-VLOOKUP($A208,[1]Hugst!$R$5:$W$9,MATCH(ROUNDUP((I$1)/10,0)*10,[1]Hugst!$R$4:$W$4,0))))</f>
        <v>0</v>
      </c>
      <c r="J208" s="168">
        <f ca="1">IF($C208-J$1&lt;År1,0,I207*(1-VLOOKUP($A208,[1]Hugst!$R$5:$W$9,MATCH(ROUNDUP((J$1)/10,0)*10,[1]Hugst!$R$4:$W$4,0))))</f>
        <v>0</v>
      </c>
      <c r="K208" s="168">
        <f ca="1">IF($C208-K$1&lt;År1,0,J207*(1-VLOOKUP($A208,[1]Hugst!$R$5:$W$9,MATCH(ROUNDUP((K$1)/10,0)*10,[1]Hugst!$R$4:$W$4,0))))</f>
        <v>0</v>
      </c>
      <c r="L208" s="168">
        <f ca="1">IF($C208-L$1&lt;År1,0,K207*(1-VLOOKUP($A208,[1]Hugst!$R$5:$W$9,MATCH(ROUNDUP((L$1)/10,0)*10,[1]Hugst!$R$4:$W$4,0))))</f>
        <v>0</v>
      </c>
      <c r="M208" s="168">
        <f ca="1">IF($C208-M$1&lt;År1,0,L207*(1-VLOOKUP($A208,[1]Hugst!$R$5:$W$9,MATCH(ROUNDUP((M$1)/10,0)*10,[1]Hugst!$R$4:$W$4,0))))</f>
        <v>0</v>
      </c>
      <c r="N208" s="168">
        <f ca="1">IF($C208-N$1&lt;År1,0,M207*(1-VLOOKUP($A208,[1]Hugst!$R$5:$W$9,MATCH(ROUNDUP((N$1)/10,0)*10,[1]Hugst!$R$4:$W$4,0))))</f>
        <v>0</v>
      </c>
      <c r="O208" s="168">
        <f ca="1">IF($C208-O$1&lt;År1,0,N207*(1-VLOOKUP($A208,[1]Hugst!$R$5:$W$9,MATCH(ROUNDUP((O$1)/10,0)*10,[1]Hugst!$R$4:$W$4,0))))</f>
        <v>0</v>
      </c>
      <c r="P208" s="168">
        <f ca="1">IF($C208-P$1&lt;År1,0,O207*(1-VLOOKUP($A208,[1]Hugst!$R$5:$W$9,MATCH(ROUNDUP((P$1)/10,0)*10,[1]Hugst!$R$4:$W$4,0))))</f>
        <v>0</v>
      </c>
      <c r="Q208" s="168">
        <f ca="1">IF($C208-Q$1&lt;År1,0,P207*(1-VLOOKUP($A208,[1]Hugst!$R$5:$W$9,MATCH(ROUNDUP((Q$1)/10,0)*10,[1]Hugst!$R$4:$W$4,0))))</f>
        <v>0</v>
      </c>
      <c r="R208" s="168">
        <f ca="1">IF($C208-R$1&lt;År1,0,Q207*(1-VLOOKUP($A208,[1]Hugst!$R$5:$W$9,MATCH(ROUNDUP((R$1)/10,0)*10,[1]Hugst!$R$4:$W$4,0))))</f>
        <v>0</v>
      </c>
      <c r="S208" s="168">
        <f ca="1">IF($C208-S$1&lt;År1,0,R207*(1-VLOOKUP($A208,[1]Hugst!$R$5:$W$9,MATCH(ROUNDUP((S$1)/10,0)*10,[1]Hugst!$R$4:$W$4,0))))</f>
        <v>0</v>
      </c>
      <c r="T208" s="168">
        <f ca="1">IF($C208-T$1&lt;År1,0,S207*(1-VLOOKUP($A208,[1]Hugst!$R$5:$W$9,MATCH(ROUNDUP((T$1)/10,0)*10,[1]Hugst!$R$4:$W$4,0))))</f>
        <v>0</v>
      </c>
      <c r="U208" s="168">
        <f ca="1">IF($C208-U$1&lt;År1,0,T207*(1-VLOOKUP($A208,[1]Hugst!$R$5:$W$9,MATCH(ROUNDUP((U$1)/10,0)*10,[1]Hugst!$R$4:$W$4,0))))</f>
        <v>0</v>
      </c>
      <c r="V208" s="168">
        <f ca="1">IF($C208-V$1&lt;År1,0,U207*(1-VLOOKUP($A208,[1]Hugst!$R$5:$W$9,MATCH(ROUNDUP((V$1)/10,0)*10,[1]Hugst!$R$4:$W$4,0))))</f>
        <v>0</v>
      </c>
      <c r="W208" s="168">
        <f ca="1">IF($C208-W$1&lt;År1,0,V207*(1-VLOOKUP($A208,[1]Hugst!$R$5:$W$9,MATCH(ROUNDUP((W$1)/10,0)*10,[1]Hugst!$R$4:$W$4,0))))</f>
        <v>0</v>
      </c>
      <c r="X208" s="168">
        <f ca="1">IF($C208-X$1&lt;År1,0,W207*(1-VLOOKUP($A208,[1]Hugst!$R$5:$W$9,MATCH(ROUNDUP((X$1)/10,0)*10,[1]Hugst!$R$4:$W$4,0))))</f>
        <v>0</v>
      </c>
      <c r="Y208" s="168">
        <f ca="1">IF($C208-Y$1&lt;År1,0,X207*(1-VLOOKUP($A208,[1]Hugst!$R$5:$W$9,MATCH(ROUNDUP((Y$1)/10,0)*10,[1]Hugst!$R$4:$W$4,0))))</f>
        <v>0</v>
      </c>
      <c r="Z208" s="168">
        <f ca="1">IF($C208-Z$1&lt;År1,0,Y207*(1-VLOOKUP($A208,[1]Hugst!$R$5:$W$9,MATCH(ROUNDUP((Z$1)/10,0)*10,[1]Hugst!$R$4:$W$4,0))))</f>
        <v>0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*VLOOKUP(A209,Skovbrug!$A$13:$D$17,IF('Skovbrug-alder'!C209&lt;=År2,3,4),FALSE)-IF(C209&gt;2020,SUM(INDEX($C$1:$D$311,MATCH(1,(2020=$C$1:$C$311)*(B209=$B$1:$B$311)*(A209=$A$1:$A$311),0),2):D208),0))</f>
        <v>0</v>
      </c>
      <c r="E209" s="168">
        <f t="shared" ca="1" si="4"/>
        <v>0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8">
        <f ca="1">IF($C209-G$1&lt;År1,0,F208*(1-VLOOKUP($A209,[1]Hugst!$R$5:$W$9,MATCH(ROUNDUP((G$1)/10,0)*10,[1]Hugst!$R$4:$W$4,0))))</f>
        <v>0</v>
      </c>
      <c r="H209" s="168">
        <f ca="1">IF($C209-H$1&lt;År1,0,G208*(1-VLOOKUP($A209,[1]Hugst!$R$5:$W$9,MATCH(ROUNDUP((H$1)/10,0)*10,[1]Hugst!$R$4:$W$4,0))))</f>
        <v>0</v>
      </c>
      <c r="I209" s="168">
        <f ca="1">IF($C209-I$1&lt;År1,0,H208*(1-VLOOKUP($A209,[1]Hugst!$R$5:$W$9,MATCH(ROUNDUP((I$1)/10,0)*10,[1]Hugst!$R$4:$W$4,0))))</f>
        <v>0</v>
      </c>
      <c r="J209" s="168">
        <f ca="1">IF($C209-J$1&lt;År1,0,I208*(1-VLOOKUP($A209,[1]Hugst!$R$5:$W$9,MATCH(ROUNDUP((J$1)/10,0)*10,[1]Hugst!$R$4:$W$4,0))))</f>
        <v>0</v>
      </c>
      <c r="K209" s="168">
        <f ca="1">IF($C209-K$1&lt;År1,0,J208*(1-VLOOKUP($A209,[1]Hugst!$R$5:$W$9,MATCH(ROUNDUP((K$1)/10,0)*10,[1]Hugst!$R$4:$W$4,0))))</f>
        <v>0</v>
      </c>
      <c r="L209" s="168">
        <f ca="1">IF($C209-L$1&lt;År1,0,K208*(1-VLOOKUP($A209,[1]Hugst!$R$5:$W$9,MATCH(ROUNDUP((L$1)/10,0)*10,[1]Hugst!$R$4:$W$4,0))))</f>
        <v>0</v>
      </c>
      <c r="M209" s="168">
        <f ca="1">IF($C209-M$1&lt;År1,0,L208*(1-VLOOKUP($A209,[1]Hugst!$R$5:$W$9,MATCH(ROUNDUP((M$1)/10,0)*10,[1]Hugst!$R$4:$W$4,0))))</f>
        <v>0</v>
      </c>
      <c r="N209" s="168">
        <f ca="1">IF($C209-N$1&lt;År1,0,M208*(1-VLOOKUP($A209,[1]Hugst!$R$5:$W$9,MATCH(ROUNDUP((N$1)/10,0)*10,[1]Hugst!$R$4:$W$4,0))))</f>
        <v>0</v>
      </c>
      <c r="O209" s="168">
        <f ca="1">IF($C209-O$1&lt;År1,0,N208*(1-VLOOKUP($A209,[1]Hugst!$R$5:$W$9,MATCH(ROUNDUP((O$1)/10,0)*10,[1]Hugst!$R$4:$W$4,0))))</f>
        <v>0</v>
      </c>
      <c r="P209" s="168">
        <f ca="1">IF($C209-P$1&lt;År1,0,O208*(1-VLOOKUP($A209,[1]Hugst!$R$5:$W$9,MATCH(ROUNDUP((P$1)/10,0)*10,[1]Hugst!$R$4:$W$4,0))))</f>
        <v>0</v>
      </c>
      <c r="Q209" s="168">
        <f ca="1">IF($C209-Q$1&lt;År1,0,P208*(1-VLOOKUP($A209,[1]Hugst!$R$5:$W$9,MATCH(ROUNDUP((Q$1)/10,0)*10,[1]Hugst!$R$4:$W$4,0))))</f>
        <v>0</v>
      </c>
      <c r="R209" s="168">
        <f ca="1">IF($C209-R$1&lt;År1,0,Q208*(1-VLOOKUP($A209,[1]Hugst!$R$5:$W$9,MATCH(ROUNDUP((R$1)/10,0)*10,[1]Hugst!$R$4:$W$4,0))))</f>
        <v>0</v>
      </c>
      <c r="S209" s="168">
        <f ca="1">IF($C209-S$1&lt;År1,0,R208*(1-VLOOKUP($A209,[1]Hugst!$R$5:$W$9,MATCH(ROUNDUP((S$1)/10,0)*10,[1]Hugst!$R$4:$W$4,0))))</f>
        <v>0</v>
      </c>
      <c r="T209" s="168">
        <f ca="1">IF($C209-T$1&lt;År1,0,S208*(1-VLOOKUP($A209,[1]Hugst!$R$5:$W$9,MATCH(ROUNDUP((T$1)/10,0)*10,[1]Hugst!$R$4:$W$4,0))))</f>
        <v>0</v>
      </c>
      <c r="U209" s="168">
        <f ca="1">IF($C209-U$1&lt;År1,0,T208*(1-VLOOKUP($A209,[1]Hugst!$R$5:$W$9,MATCH(ROUNDUP((U$1)/10,0)*10,[1]Hugst!$R$4:$W$4,0))))</f>
        <v>0</v>
      </c>
      <c r="V209" s="168">
        <f ca="1">IF($C209-V$1&lt;År1,0,U208*(1-VLOOKUP($A209,[1]Hugst!$R$5:$W$9,MATCH(ROUNDUP((V$1)/10,0)*10,[1]Hugst!$R$4:$W$4,0))))</f>
        <v>0</v>
      </c>
      <c r="W209" s="168">
        <f ca="1">IF($C209-W$1&lt;År1,0,V208*(1-VLOOKUP($A209,[1]Hugst!$R$5:$W$9,MATCH(ROUNDUP((W$1)/10,0)*10,[1]Hugst!$R$4:$W$4,0))))</f>
        <v>0</v>
      </c>
      <c r="X209" s="168">
        <f ca="1">IF($C209-X$1&lt;År1,0,W208*(1-VLOOKUP($A209,[1]Hugst!$R$5:$W$9,MATCH(ROUNDUP((X$1)/10,0)*10,[1]Hugst!$R$4:$W$4,0))))</f>
        <v>0</v>
      </c>
      <c r="Y209" s="168">
        <f ca="1">IF($C209-Y$1&lt;År1,0,X208*(1-VLOOKUP($A209,[1]Hugst!$R$5:$W$9,MATCH(ROUNDUP((Y$1)/10,0)*10,[1]Hugst!$R$4:$W$4,0))))</f>
        <v>0</v>
      </c>
      <c r="Z209" s="168">
        <f ca="1">IF($C209-Z$1&lt;År1,0,Y208*(1-VLOOKUP($A209,[1]Hugst!$R$5:$W$9,MATCH(ROUNDUP((Z$1)/10,0)*10,[1]Hugst!$R$4:$W$4,0))))</f>
        <v>0</v>
      </c>
      <c r="AA209" s="168">
        <f ca="1">IF($C209-AA$1&lt;År1,0,Z208*(1-VLOOKUP($A209,[1]Hugst!$R$5:$W$9,MATCH(ROUNDUP((AA$1)/10,0)*10,[1]Hugst!$R$4:$W$4,0))))</f>
        <v>0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*VLOOKUP(A210,Skovbrug!$A$13:$D$17,IF('Skovbrug-alder'!C210&lt;=År2,3,4),FALSE)-IF(C210&gt;2020,SUM(INDEX($C$1:$D$311,MATCH(1,(2020=$C$1:$C$311)*(B210=$B$1:$B$311)*(A210=$A$1:$A$311),0),2):D209),0))</f>
        <v>0</v>
      </c>
      <c r="E210" s="168">
        <f t="shared" ca="1" si="4"/>
        <v>0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8">
        <f ca="1">IF($C210-G$1&lt;År1,0,F209*(1-VLOOKUP($A210,[1]Hugst!$R$5:$W$9,MATCH(ROUNDUP((G$1)/10,0)*10,[1]Hugst!$R$4:$W$4,0))))</f>
        <v>0</v>
      </c>
      <c r="H210" s="168">
        <f ca="1">IF($C210-H$1&lt;År1,0,G209*(1-VLOOKUP($A210,[1]Hugst!$R$5:$W$9,MATCH(ROUNDUP((H$1)/10,0)*10,[1]Hugst!$R$4:$W$4,0))))</f>
        <v>0</v>
      </c>
      <c r="I210" s="168">
        <f ca="1">IF($C210-I$1&lt;År1,0,H209*(1-VLOOKUP($A210,[1]Hugst!$R$5:$W$9,MATCH(ROUNDUP((I$1)/10,0)*10,[1]Hugst!$R$4:$W$4,0))))</f>
        <v>0</v>
      </c>
      <c r="J210" s="168">
        <f ca="1">IF($C210-J$1&lt;År1,0,I209*(1-VLOOKUP($A210,[1]Hugst!$R$5:$W$9,MATCH(ROUNDUP((J$1)/10,0)*10,[1]Hugst!$R$4:$W$4,0))))</f>
        <v>0</v>
      </c>
      <c r="K210" s="168">
        <f ca="1">IF($C210-K$1&lt;År1,0,J209*(1-VLOOKUP($A210,[1]Hugst!$R$5:$W$9,MATCH(ROUNDUP((K$1)/10,0)*10,[1]Hugst!$R$4:$W$4,0))))</f>
        <v>0</v>
      </c>
      <c r="L210" s="168">
        <f ca="1">IF($C210-L$1&lt;År1,0,K209*(1-VLOOKUP($A210,[1]Hugst!$R$5:$W$9,MATCH(ROUNDUP((L$1)/10,0)*10,[1]Hugst!$R$4:$W$4,0))))</f>
        <v>0</v>
      </c>
      <c r="M210" s="168">
        <f ca="1">IF($C210-M$1&lt;År1,0,L209*(1-VLOOKUP($A210,[1]Hugst!$R$5:$W$9,MATCH(ROUNDUP((M$1)/10,0)*10,[1]Hugst!$R$4:$W$4,0))))</f>
        <v>0</v>
      </c>
      <c r="N210" s="168">
        <f ca="1">IF($C210-N$1&lt;År1,0,M209*(1-VLOOKUP($A210,[1]Hugst!$R$5:$W$9,MATCH(ROUNDUP((N$1)/10,0)*10,[1]Hugst!$R$4:$W$4,0))))</f>
        <v>0</v>
      </c>
      <c r="O210" s="168">
        <f ca="1">IF($C210-O$1&lt;År1,0,N209*(1-VLOOKUP($A210,[1]Hugst!$R$5:$W$9,MATCH(ROUNDUP((O$1)/10,0)*10,[1]Hugst!$R$4:$W$4,0))))</f>
        <v>0</v>
      </c>
      <c r="P210" s="168">
        <f ca="1">IF($C210-P$1&lt;År1,0,O209*(1-VLOOKUP($A210,[1]Hugst!$R$5:$W$9,MATCH(ROUNDUP((P$1)/10,0)*10,[1]Hugst!$R$4:$W$4,0))))</f>
        <v>0</v>
      </c>
      <c r="Q210" s="168">
        <f ca="1">IF($C210-Q$1&lt;År1,0,P209*(1-VLOOKUP($A210,[1]Hugst!$R$5:$W$9,MATCH(ROUNDUP((Q$1)/10,0)*10,[1]Hugst!$R$4:$W$4,0))))</f>
        <v>0</v>
      </c>
      <c r="R210" s="168">
        <f ca="1">IF($C210-R$1&lt;År1,0,Q209*(1-VLOOKUP($A210,[1]Hugst!$R$5:$W$9,MATCH(ROUNDUP((R$1)/10,0)*10,[1]Hugst!$R$4:$W$4,0))))</f>
        <v>0</v>
      </c>
      <c r="S210" s="168">
        <f ca="1">IF($C210-S$1&lt;År1,0,R209*(1-VLOOKUP($A210,[1]Hugst!$R$5:$W$9,MATCH(ROUNDUP((S$1)/10,0)*10,[1]Hugst!$R$4:$W$4,0))))</f>
        <v>0</v>
      </c>
      <c r="T210" s="168">
        <f ca="1">IF($C210-T$1&lt;År1,0,S209*(1-VLOOKUP($A210,[1]Hugst!$R$5:$W$9,MATCH(ROUNDUP((T$1)/10,0)*10,[1]Hugst!$R$4:$W$4,0))))</f>
        <v>0</v>
      </c>
      <c r="U210" s="168">
        <f ca="1">IF($C210-U$1&lt;År1,0,T209*(1-VLOOKUP($A210,[1]Hugst!$R$5:$W$9,MATCH(ROUNDUP((U$1)/10,0)*10,[1]Hugst!$R$4:$W$4,0))))</f>
        <v>0</v>
      </c>
      <c r="V210" s="168">
        <f ca="1">IF($C210-V$1&lt;År1,0,U209*(1-VLOOKUP($A210,[1]Hugst!$R$5:$W$9,MATCH(ROUNDUP((V$1)/10,0)*10,[1]Hugst!$R$4:$W$4,0))))</f>
        <v>0</v>
      </c>
      <c r="W210" s="168">
        <f ca="1">IF($C210-W$1&lt;År1,0,V209*(1-VLOOKUP($A210,[1]Hugst!$R$5:$W$9,MATCH(ROUNDUP((W$1)/10,0)*10,[1]Hugst!$R$4:$W$4,0))))</f>
        <v>0</v>
      </c>
      <c r="X210" s="168">
        <f ca="1">IF($C210-X$1&lt;År1,0,W209*(1-VLOOKUP($A210,[1]Hugst!$R$5:$W$9,MATCH(ROUNDUP((X$1)/10,0)*10,[1]Hugst!$R$4:$W$4,0))))</f>
        <v>0</v>
      </c>
      <c r="Y210" s="168">
        <f ca="1">IF($C210-Y$1&lt;År1,0,X209*(1-VLOOKUP($A210,[1]Hugst!$R$5:$W$9,MATCH(ROUNDUP((Y$1)/10,0)*10,[1]Hugst!$R$4:$W$4,0))))</f>
        <v>0</v>
      </c>
      <c r="Z210" s="168">
        <f ca="1">IF($C210-Z$1&lt;År1,0,Y209*(1-VLOOKUP($A210,[1]Hugst!$R$5:$W$9,MATCH(ROUNDUP((Z$1)/10,0)*10,[1]Hugst!$R$4:$W$4,0))))</f>
        <v>0</v>
      </c>
      <c r="AA210" s="168">
        <f ca="1">IF($C210-AA$1&lt;År1,0,Z209*(1-VLOOKUP($A210,[1]Hugst!$R$5:$W$9,MATCH(ROUNDUP((AA$1)/10,0)*10,[1]Hugst!$R$4:$W$4,0))))</f>
        <v>0</v>
      </c>
      <c r="AB210" s="168">
        <f ca="1">IF($C210-AB$1&lt;År1,0,AA209*(1-VLOOKUP($A210,[1]Hugst!$R$5:$W$9,MATCH(ROUNDUP((AB$1)/10,0)*10,[1]Hugst!$R$4:$W$4,0))))</f>
        <v>0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*VLOOKUP(A211,Skovbrug!$A$13:$D$17,IF('Skovbrug-alder'!C211&lt;=År2,3,4),FALSE)-IF(C211&gt;2020,SUM(INDEX($C$1:$D$311,MATCH(1,(2020=$C$1:$C$311)*(B211=$B$1:$B$311)*(A211=$A$1:$A$311),0),2):D210),0))</f>
        <v>0</v>
      </c>
      <c r="E211" s="168">
        <f t="shared" ca="1" si="4"/>
        <v>0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8">
        <f ca="1">IF($C211-G$1&lt;År1,0,F210*(1-VLOOKUP($A211,[1]Hugst!$R$5:$W$9,MATCH(ROUNDUP((G$1)/10,0)*10,[1]Hugst!$R$4:$W$4,0))))</f>
        <v>0</v>
      </c>
      <c r="H211" s="168">
        <f ca="1">IF($C211-H$1&lt;År1,0,G210*(1-VLOOKUP($A211,[1]Hugst!$R$5:$W$9,MATCH(ROUNDUP((H$1)/10,0)*10,[1]Hugst!$R$4:$W$4,0))))</f>
        <v>0</v>
      </c>
      <c r="I211" s="168">
        <f ca="1">IF($C211-I$1&lt;År1,0,H210*(1-VLOOKUP($A211,[1]Hugst!$R$5:$W$9,MATCH(ROUNDUP((I$1)/10,0)*10,[1]Hugst!$R$4:$W$4,0))))</f>
        <v>0</v>
      </c>
      <c r="J211" s="168">
        <f ca="1">IF($C211-J$1&lt;År1,0,I210*(1-VLOOKUP($A211,[1]Hugst!$R$5:$W$9,MATCH(ROUNDUP((J$1)/10,0)*10,[1]Hugst!$R$4:$W$4,0))))</f>
        <v>0</v>
      </c>
      <c r="K211" s="168">
        <f ca="1">IF($C211-K$1&lt;År1,0,J210*(1-VLOOKUP($A211,[1]Hugst!$R$5:$W$9,MATCH(ROUNDUP((K$1)/10,0)*10,[1]Hugst!$R$4:$W$4,0))))</f>
        <v>0</v>
      </c>
      <c r="L211" s="168">
        <f ca="1">IF($C211-L$1&lt;År1,0,K210*(1-VLOOKUP($A211,[1]Hugst!$R$5:$W$9,MATCH(ROUNDUP((L$1)/10,0)*10,[1]Hugst!$R$4:$W$4,0))))</f>
        <v>0</v>
      </c>
      <c r="M211" s="168">
        <f ca="1">IF($C211-M$1&lt;År1,0,L210*(1-VLOOKUP($A211,[1]Hugst!$R$5:$W$9,MATCH(ROUNDUP((M$1)/10,0)*10,[1]Hugst!$R$4:$W$4,0))))</f>
        <v>0</v>
      </c>
      <c r="N211" s="168">
        <f ca="1">IF($C211-N$1&lt;År1,0,M210*(1-VLOOKUP($A211,[1]Hugst!$R$5:$W$9,MATCH(ROUNDUP((N$1)/10,0)*10,[1]Hugst!$R$4:$W$4,0))))</f>
        <v>0</v>
      </c>
      <c r="O211" s="168">
        <f ca="1">IF($C211-O$1&lt;År1,0,N210*(1-VLOOKUP($A211,[1]Hugst!$R$5:$W$9,MATCH(ROUNDUP((O$1)/10,0)*10,[1]Hugst!$R$4:$W$4,0))))</f>
        <v>0</v>
      </c>
      <c r="P211" s="168">
        <f ca="1">IF($C211-P$1&lt;År1,0,O210*(1-VLOOKUP($A211,[1]Hugst!$R$5:$W$9,MATCH(ROUNDUP((P$1)/10,0)*10,[1]Hugst!$R$4:$W$4,0))))</f>
        <v>0</v>
      </c>
      <c r="Q211" s="168">
        <f ca="1">IF($C211-Q$1&lt;År1,0,P210*(1-VLOOKUP($A211,[1]Hugst!$R$5:$W$9,MATCH(ROUNDUP((Q$1)/10,0)*10,[1]Hugst!$R$4:$W$4,0))))</f>
        <v>0</v>
      </c>
      <c r="R211" s="168">
        <f ca="1">IF($C211-R$1&lt;År1,0,Q210*(1-VLOOKUP($A211,[1]Hugst!$R$5:$W$9,MATCH(ROUNDUP((R$1)/10,0)*10,[1]Hugst!$R$4:$W$4,0))))</f>
        <v>0</v>
      </c>
      <c r="S211" s="168">
        <f ca="1">IF($C211-S$1&lt;År1,0,R210*(1-VLOOKUP($A211,[1]Hugst!$R$5:$W$9,MATCH(ROUNDUP((S$1)/10,0)*10,[1]Hugst!$R$4:$W$4,0))))</f>
        <v>0</v>
      </c>
      <c r="T211" s="168">
        <f ca="1">IF($C211-T$1&lt;År1,0,S210*(1-VLOOKUP($A211,[1]Hugst!$R$5:$W$9,MATCH(ROUNDUP((T$1)/10,0)*10,[1]Hugst!$R$4:$W$4,0))))</f>
        <v>0</v>
      </c>
      <c r="U211" s="168">
        <f ca="1">IF($C211-U$1&lt;År1,0,T210*(1-VLOOKUP($A211,[1]Hugst!$R$5:$W$9,MATCH(ROUNDUP((U$1)/10,0)*10,[1]Hugst!$R$4:$W$4,0))))</f>
        <v>0</v>
      </c>
      <c r="V211" s="168">
        <f ca="1">IF($C211-V$1&lt;År1,0,U210*(1-VLOOKUP($A211,[1]Hugst!$R$5:$W$9,MATCH(ROUNDUP((V$1)/10,0)*10,[1]Hugst!$R$4:$W$4,0))))</f>
        <v>0</v>
      </c>
      <c r="W211" s="168">
        <f ca="1">IF($C211-W$1&lt;År1,0,V210*(1-VLOOKUP($A211,[1]Hugst!$R$5:$W$9,MATCH(ROUNDUP((W$1)/10,0)*10,[1]Hugst!$R$4:$W$4,0))))</f>
        <v>0</v>
      </c>
      <c r="X211" s="168">
        <f ca="1">IF($C211-X$1&lt;År1,0,W210*(1-VLOOKUP($A211,[1]Hugst!$R$5:$W$9,MATCH(ROUNDUP((X$1)/10,0)*10,[1]Hugst!$R$4:$W$4,0))))</f>
        <v>0</v>
      </c>
      <c r="Y211" s="168">
        <f ca="1">IF($C211-Y$1&lt;År1,0,X210*(1-VLOOKUP($A211,[1]Hugst!$R$5:$W$9,MATCH(ROUNDUP((Y$1)/10,0)*10,[1]Hugst!$R$4:$W$4,0))))</f>
        <v>0</v>
      </c>
      <c r="Z211" s="168">
        <f ca="1">IF($C211-Z$1&lt;År1,0,Y210*(1-VLOOKUP($A211,[1]Hugst!$R$5:$W$9,MATCH(ROUNDUP((Z$1)/10,0)*10,[1]Hugst!$R$4:$W$4,0))))</f>
        <v>0</v>
      </c>
      <c r="AA211" s="168">
        <f ca="1">IF($C211-AA$1&lt;År1,0,Z210*(1-VLOOKUP($A211,[1]Hugst!$R$5:$W$9,MATCH(ROUNDUP((AA$1)/10,0)*10,[1]Hugst!$R$4:$W$4,0))))</f>
        <v>0</v>
      </c>
      <c r="AB211" s="168">
        <f ca="1">IF($C211-AB$1&lt;År1,0,AA210*(1-VLOOKUP($A211,[1]Hugst!$R$5:$W$9,MATCH(ROUNDUP((AB$1)/10,0)*10,[1]Hugst!$R$4:$W$4,0))))</f>
        <v>0</v>
      </c>
      <c r="AC211" s="168">
        <f ca="1">IF($C211-AC$1&lt;År1,0,AB210*(1-VLOOKUP($A211,[1]Hugst!$R$5:$W$9,MATCH(ROUNDUP((AC$1)/10,0)*10,[1]Hugst!$R$4:$W$4,0))))</f>
        <v>0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*VLOOKUP(A212,Skovbrug!$A$13:$D$17,IF('Skovbrug-alder'!C212&lt;=År2,3,4),FALSE)-IF(C212&gt;2020,SUM(INDEX($C$1:$D$311,MATCH(1,(2020=$C$1:$C$311)*(B212=$B$1:$B$311)*(A212=$A$1:$A$311),0),2):D211),0))</f>
        <v>0</v>
      </c>
      <c r="E212" s="168">
        <f t="shared" ca="1" si="4"/>
        <v>0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8">
        <f ca="1">IF($C212-G$1&lt;År1,0,F211*(1-VLOOKUP($A212,[1]Hugst!$R$5:$W$9,MATCH(ROUNDUP((G$1)/10,0)*10,[1]Hugst!$R$4:$W$4,0))))</f>
        <v>0</v>
      </c>
      <c r="H212" s="168">
        <f ca="1">IF($C212-H$1&lt;År1,0,G211*(1-VLOOKUP($A212,[1]Hugst!$R$5:$W$9,MATCH(ROUNDUP((H$1)/10,0)*10,[1]Hugst!$R$4:$W$4,0))))</f>
        <v>0</v>
      </c>
      <c r="I212" s="168">
        <f ca="1">IF($C212-I$1&lt;År1,0,H211*(1-VLOOKUP($A212,[1]Hugst!$R$5:$W$9,MATCH(ROUNDUP((I$1)/10,0)*10,[1]Hugst!$R$4:$W$4,0))))</f>
        <v>0</v>
      </c>
      <c r="J212" s="168">
        <f ca="1">IF($C212-J$1&lt;År1,0,I211*(1-VLOOKUP($A212,[1]Hugst!$R$5:$W$9,MATCH(ROUNDUP((J$1)/10,0)*10,[1]Hugst!$R$4:$W$4,0))))</f>
        <v>0</v>
      </c>
      <c r="K212" s="168">
        <f ca="1">IF($C212-K$1&lt;År1,0,J211*(1-VLOOKUP($A212,[1]Hugst!$R$5:$W$9,MATCH(ROUNDUP((K$1)/10,0)*10,[1]Hugst!$R$4:$W$4,0))))</f>
        <v>0</v>
      </c>
      <c r="L212" s="168">
        <f ca="1">IF($C212-L$1&lt;År1,0,K211*(1-VLOOKUP($A212,[1]Hugst!$R$5:$W$9,MATCH(ROUNDUP((L$1)/10,0)*10,[1]Hugst!$R$4:$W$4,0))))</f>
        <v>0</v>
      </c>
      <c r="M212" s="168">
        <f ca="1">IF($C212-M$1&lt;År1,0,L211*(1-VLOOKUP($A212,[1]Hugst!$R$5:$W$9,MATCH(ROUNDUP((M$1)/10,0)*10,[1]Hugst!$R$4:$W$4,0))))</f>
        <v>0</v>
      </c>
      <c r="N212" s="168">
        <f ca="1">IF($C212-N$1&lt;År1,0,M211*(1-VLOOKUP($A212,[1]Hugst!$R$5:$W$9,MATCH(ROUNDUP((N$1)/10,0)*10,[1]Hugst!$R$4:$W$4,0))))</f>
        <v>0</v>
      </c>
      <c r="O212" s="168">
        <f ca="1">IF($C212-O$1&lt;År1,0,N211*(1-VLOOKUP($A212,[1]Hugst!$R$5:$W$9,MATCH(ROUNDUP((O$1)/10,0)*10,[1]Hugst!$R$4:$W$4,0))))</f>
        <v>0</v>
      </c>
      <c r="P212" s="168">
        <f ca="1">IF($C212-P$1&lt;År1,0,O211*(1-VLOOKUP($A212,[1]Hugst!$R$5:$W$9,MATCH(ROUNDUP((P$1)/10,0)*10,[1]Hugst!$R$4:$W$4,0))))</f>
        <v>0</v>
      </c>
      <c r="Q212" s="168">
        <f ca="1">IF($C212-Q$1&lt;År1,0,P211*(1-VLOOKUP($A212,[1]Hugst!$R$5:$W$9,MATCH(ROUNDUP((Q$1)/10,0)*10,[1]Hugst!$R$4:$W$4,0))))</f>
        <v>0</v>
      </c>
      <c r="R212" s="168">
        <f ca="1">IF($C212-R$1&lt;År1,0,Q211*(1-VLOOKUP($A212,[1]Hugst!$R$5:$W$9,MATCH(ROUNDUP((R$1)/10,0)*10,[1]Hugst!$R$4:$W$4,0))))</f>
        <v>0</v>
      </c>
      <c r="S212" s="168">
        <f ca="1">IF($C212-S$1&lt;År1,0,R211*(1-VLOOKUP($A212,[1]Hugst!$R$5:$W$9,MATCH(ROUNDUP((S$1)/10,0)*10,[1]Hugst!$R$4:$W$4,0))))</f>
        <v>0</v>
      </c>
      <c r="T212" s="168">
        <f ca="1">IF($C212-T$1&lt;År1,0,S211*(1-VLOOKUP($A212,[1]Hugst!$R$5:$W$9,MATCH(ROUNDUP((T$1)/10,0)*10,[1]Hugst!$R$4:$W$4,0))))</f>
        <v>0</v>
      </c>
      <c r="U212" s="168">
        <f ca="1">IF($C212-U$1&lt;År1,0,T211*(1-VLOOKUP($A212,[1]Hugst!$R$5:$W$9,MATCH(ROUNDUP((U$1)/10,0)*10,[1]Hugst!$R$4:$W$4,0))))</f>
        <v>0</v>
      </c>
      <c r="V212" s="168">
        <f ca="1">IF($C212-V$1&lt;År1,0,U211*(1-VLOOKUP($A212,[1]Hugst!$R$5:$W$9,MATCH(ROUNDUP((V$1)/10,0)*10,[1]Hugst!$R$4:$W$4,0))))</f>
        <v>0</v>
      </c>
      <c r="W212" s="168">
        <f ca="1">IF($C212-W$1&lt;År1,0,V211*(1-VLOOKUP($A212,[1]Hugst!$R$5:$W$9,MATCH(ROUNDUP((W$1)/10,0)*10,[1]Hugst!$R$4:$W$4,0))))</f>
        <v>0</v>
      </c>
      <c r="X212" s="168">
        <f ca="1">IF($C212-X$1&lt;År1,0,W211*(1-VLOOKUP($A212,[1]Hugst!$R$5:$W$9,MATCH(ROUNDUP((X$1)/10,0)*10,[1]Hugst!$R$4:$W$4,0))))</f>
        <v>0</v>
      </c>
      <c r="Y212" s="168">
        <f ca="1">IF($C212-Y$1&lt;År1,0,X211*(1-VLOOKUP($A212,[1]Hugst!$R$5:$W$9,MATCH(ROUNDUP((Y$1)/10,0)*10,[1]Hugst!$R$4:$W$4,0))))</f>
        <v>0</v>
      </c>
      <c r="Z212" s="168">
        <f ca="1">IF($C212-Z$1&lt;År1,0,Y211*(1-VLOOKUP($A212,[1]Hugst!$R$5:$W$9,MATCH(ROUNDUP((Z$1)/10,0)*10,[1]Hugst!$R$4:$W$4,0))))</f>
        <v>0</v>
      </c>
      <c r="AA212" s="168">
        <f ca="1">IF($C212-AA$1&lt;År1,0,Z211*(1-VLOOKUP($A212,[1]Hugst!$R$5:$W$9,MATCH(ROUNDUP((AA$1)/10,0)*10,[1]Hugst!$R$4:$W$4,0))))</f>
        <v>0</v>
      </c>
      <c r="AB212" s="168">
        <f ca="1">IF($C212-AB$1&lt;År1,0,AA211*(1-VLOOKUP($A212,[1]Hugst!$R$5:$W$9,MATCH(ROUNDUP((AB$1)/10,0)*10,[1]Hugst!$R$4:$W$4,0))))</f>
        <v>0</v>
      </c>
      <c r="AC212" s="168">
        <f ca="1">IF($C212-AC$1&lt;År1,0,AB211*(1-VLOOKUP($A212,[1]Hugst!$R$5:$W$9,MATCH(ROUNDUP((AC$1)/10,0)*10,[1]Hugst!$R$4:$W$4,0))))</f>
        <v>0</v>
      </c>
      <c r="AD212" s="168">
        <f ca="1">IF($C212-AD$1&lt;År1,0,AC211*(1-VLOOKUP($A212,[1]Hugst!$R$5:$W$9,MATCH(ROUNDUP((AD$1)/10,0)*10,[1]Hugst!$R$4:$W$4,0))))</f>
        <v>0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*VLOOKUP(A213,Skovbrug!$A$13:$D$17,IF('Skovbrug-alder'!C213&lt;=År2,3,4),FALSE)-IF(C213&gt;2020,SUM(INDEX($C$1:$D$311,MATCH(1,(2020=$C$1:$C$311)*(B213=$B$1:$B$311)*(A213=$A$1:$A$311),0),2):D212),0))</f>
        <v>0</v>
      </c>
      <c r="E213" s="168">
        <f t="shared" ca="1" si="4"/>
        <v>0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8">
        <f ca="1">IF($C213-G$1&lt;År1,0,F212*(1-VLOOKUP($A213,[1]Hugst!$R$5:$W$9,MATCH(ROUNDUP((G$1)/10,0)*10,[1]Hugst!$R$4:$W$4,0))))</f>
        <v>0</v>
      </c>
      <c r="H213" s="168">
        <f ca="1">IF($C213-H$1&lt;År1,0,G212*(1-VLOOKUP($A213,[1]Hugst!$R$5:$W$9,MATCH(ROUNDUP((H$1)/10,0)*10,[1]Hugst!$R$4:$W$4,0))))</f>
        <v>0</v>
      </c>
      <c r="I213" s="168">
        <f ca="1">IF($C213-I$1&lt;År1,0,H212*(1-VLOOKUP($A213,[1]Hugst!$R$5:$W$9,MATCH(ROUNDUP((I$1)/10,0)*10,[1]Hugst!$R$4:$W$4,0))))</f>
        <v>0</v>
      </c>
      <c r="J213" s="168">
        <f ca="1">IF($C213-J$1&lt;År1,0,I212*(1-VLOOKUP($A213,[1]Hugst!$R$5:$W$9,MATCH(ROUNDUP((J$1)/10,0)*10,[1]Hugst!$R$4:$W$4,0))))</f>
        <v>0</v>
      </c>
      <c r="K213" s="168">
        <f ca="1">IF($C213-K$1&lt;År1,0,J212*(1-VLOOKUP($A213,[1]Hugst!$R$5:$W$9,MATCH(ROUNDUP((K$1)/10,0)*10,[1]Hugst!$R$4:$W$4,0))))</f>
        <v>0</v>
      </c>
      <c r="L213" s="168">
        <f ca="1">IF($C213-L$1&lt;År1,0,K212*(1-VLOOKUP($A213,[1]Hugst!$R$5:$W$9,MATCH(ROUNDUP((L$1)/10,0)*10,[1]Hugst!$R$4:$W$4,0))))</f>
        <v>0</v>
      </c>
      <c r="M213" s="168">
        <f ca="1">IF($C213-M$1&lt;År1,0,L212*(1-VLOOKUP($A213,[1]Hugst!$R$5:$W$9,MATCH(ROUNDUP((M$1)/10,0)*10,[1]Hugst!$R$4:$W$4,0))))</f>
        <v>0</v>
      </c>
      <c r="N213" s="168">
        <f ca="1">IF($C213-N$1&lt;År1,0,M212*(1-VLOOKUP($A213,[1]Hugst!$R$5:$W$9,MATCH(ROUNDUP((N$1)/10,0)*10,[1]Hugst!$R$4:$W$4,0))))</f>
        <v>0</v>
      </c>
      <c r="O213" s="168">
        <f ca="1">IF($C213-O$1&lt;År1,0,N212*(1-VLOOKUP($A213,[1]Hugst!$R$5:$W$9,MATCH(ROUNDUP((O$1)/10,0)*10,[1]Hugst!$R$4:$W$4,0))))</f>
        <v>0</v>
      </c>
      <c r="P213" s="168">
        <f ca="1">IF($C213-P$1&lt;År1,0,O212*(1-VLOOKUP($A213,[1]Hugst!$R$5:$W$9,MATCH(ROUNDUP((P$1)/10,0)*10,[1]Hugst!$R$4:$W$4,0))))</f>
        <v>0</v>
      </c>
      <c r="Q213" s="168">
        <f ca="1">IF($C213-Q$1&lt;År1,0,P212*(1-VLOOKUP($A213,[1]Hugst!$R$5:$W$9,MATCH(ROUNDUP((Q$1)/10,0)*10,[1]Hugst!$R$4:$W$4,0))))</f>
        <v>0</v>
      </c>
      <c r="R213" s="168">
        <f ca="1">IF($C213-R$1&lt;År1,0,Q212*(1-VLOOKUP($A213,[1]Hugst!$R$5:$W$9,MATCH(ROUNDUP((R$1)/10,0)*10,[1]Hugst!$R$4:$W$4,0))))</f>
        <v>0</v>
      </c>
      <c r="S213" s="168">
        <f ca="1">IF($C213-S$1&lt;År1,0,R212*(1-VLOOKUP($A213,[1]Hugst!$R$5:$W$9,MATCH(ROUNDUP((S$1)/10,0)*10,[1]Hugst!$R$4:$W$4,0))))</f>
        <v>0</v>
      </c>
      <c r="T213" s="168">
        <f ca="1">IF($C213-T$1&lt;År1,0,S212*(1-VLOOKUP($A213,[1]Hugst!$R$5:$W$9,MATCH(ROUNDUP((T$1)/10,0)*10,[1]Hugst!$R$4:$W$4,0))))</f>
        <v>0</v>
      </c>
      <c r="U213" s="168">
        <f ca="1">IF($C213-U$1&lt;År1,0,T212*(1-VLOOKUP($A213,[1]Hugst!$R$5:$W$9,MATCH(ROUNDUP((U$1)/10,0)*10,[1]Hugst!$R$4:$W$4,0))))</f>
        <v>0</v>
      </c>
      <c r="V213" s="168">
        <f ca="1">IF($C213-V$1&lt;År1,0,U212*(1-VLOOKUP($A213,[1]Hugst!$R$5:$W$9,MATCH(ROUNDUP((V$1)/10,0)*10,[1]Hugst!$R$4:$W$4,0))))</f>
        <v>0</v>
      </c>
      <c r="W213" s="168">
        <f ca="1">IF($C213-W$1&lt;År1,0,V212*(1-VLOOKUP($A213,[1]Hugst!$R$5:$W$9,MATCH(ROUNDUP((W$1)/10,0)*10,[1]Hugst!$R$4:$W$4,0))))</f>
        <v>0</v>
      </c>
      <c r="X213" s="168">
        <f ca="1">IF($C213-X$1&lt;År1,0,W212*(1-VLOOKUP($A213,[1]Hugst!$R$5:$W$9,MATCH(ROUNDUP((X$1)/10,0)*10,[1]Hugst!$R$4:$W$4,0))))</f>
        <v>0</v>
      </c>
      <c r="Y213" s="168">
        <f ca="1">IF($C213-Y$1&lt;År1,0,X212*(1-VLOOKUP($A213,[1]Hugst!$R$5:$W$9,MATCH(ROUNDUP((Y$1)/10,0)*10,[1]Hugst!$R$4:$W$4,0))))</f>
        <v>0</v>
      </c>
      <c r="Z213" s="168">
        <f ca="1">IF($C213-Z$1&lt;År1,0,Y212*(1-VLOOKUP($A213,[1]Hugst!$R$5:$W$9,MATCH(ROUNDUP((Z$1)/10,0)*10,[1]Hugst!$R$4:$W$4,0))))</f>
        <v>0</v>
      </c>
      <c r="AA213" s="168">
        <f ca="1">IF($C213-AA$1&lt;År1,0,Z212*(1-VLOOKUP($A213,[1]Hugst!$R$5:$W$9,MATCH(ROUNDUP((AA$1)/10,0)*10,[1]Hugst!$R$4:$W$4,0))))</f>
        <v>0</v>
      </c>
      <c r="AB213" s="168">
        <f ca="1">IF($C213-AB$1&lt;År1,0,AA212*(1-VLOOKUP($A213,[1]Hugst!$R$5:$W$9,MATCH(ROUNDUP((AB$1)/10,0)*10,[1]Hugst!$R$4:$W$4,0))))</f>
        <v>0</v>
      </c>
      <c r="AC213" s="168">
        <f ca="1">IF($C213-AC$1&lt;År1,0,AB212*(1-VLOOKUP($A213,[1]Hugst!$R$5:$W$9,MATCH(ROUNDUP((AC$1)/10,0)*10,[1]Hugst!$R$4:$W$4,0))))</f>
        <v>0</v>
      </c>
      <c r="AD213" s="168">
        <f ca="1">IF($C213-AD$1&lt;År1,0,AC212*(1-VLOOKUP($A213,[1]Hugst!$R$5:$W$9,MATCH(ROUNDUP((AD$1)/10,0)*10,[1]Hugst!$R$4:$W$4,0))))</f>
        <v>0</v>
      </c>
      <c r="AE213" s="168">
        <f ca="1">IF($C213-AE$1&lt;År1,0,AD212*(1-VLOOKUP($A213,[1]Hugst!$R$5:$W$9,MATCH(ROUNDUP((AE$1)/10,0)*10,[1]Hugst!$R$4:$W$4,0))))</f>
        <v>0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*VLOOKUP(A214,Skovbrug!$A$13:$D$17,IF('Skovbrug-alder'!C214&lt;=År2,3,4),FALSE)-IF(C214&gt;2020,SUM(INDEX($C$1:$D$311,MATCH(1,(2020=$C$1:$C$311)*(B214=$B$1:$B$311)*(A214=$A$1:$A$311),0),2):D213),0))</f>
        <v>0</v>
      </c>
      <c r="E214" s="168">
        <f t="shared" ca="1" si="4"/>
        <v>0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8">
        <f ca="1">IF($C214-G$1&lt;År1,0,F213*(1-VLOOKUP($A214,[1]Hugst!$R$5:$W$9,MATCH(ROUNDUP((G$1)/10,0)*10,[1]Hugst!$R$4:$W$4,0))))</f>
        <v>0</v>
      </c>
      <c r="H214" s="168">
        <f ca="1">IF($C214-H$1&lt;År1,0,G213*(1-VLOOKUP($A214,[1]Hugst!$R$5:$W$9,MATCH(ROUNDUP((H$1)/10,0)*10,[1]Hugst!$R$4:$W$4,0))))</f>
        <v>0</v>
      </c>
      <c r="I214" s="168">
        <f ca="1">IF($C214-I$1&lt;År1,0,H213*(1-VLOOKUP($A214,[1]Hugst!$R$5:$W$9,MATCH(ROUNDUP((I$1)/10,0)*10,[1]Hugst!$R$4:$W$4,0))))</f>
        <v>0</v>
      </c>
      <c r="J214" s="168">
        <f ca="1">IF($C214-J$1&lt;År1,0,I213*(1-VLOOKUP($A214,[1]Hugst!$R$5:$W$9,MATCH(ROUNDUP((J$1)/10,0)*10,[1]Hugst!$R$4:$W$4,0))))</f>
        <v>0</v>
      </c>
      <c r="K214" s="168">
        <f ca="1">IF($C214-K$1&lt;År1,0,J213*(1-VLOOKUP($A214,[1]Hugst!$R$5:$W$9,MATCH(ROUNDUP((K$1)/10,0)*10,[1]Hugst!$R$4:$W$4,0))))</f>
        <v>0</v>
      </c>
      <c r="L214" s="168">
        <f ca="1">IF($C214-L$1&lt;År1,0,K213*(1-VLOOKUP($A214,[1]Hugst!$R$5:$W$9,MATCH(ROUNDUP((L$1)/10,0)*10,[1]Hugst!$R$4:$W$4,0))))</f>
        <v>0</v>
      </c>
      <c r="M214" s="168">
        <f ca="1">IF($C214-M$1&lt;År1,0,L213*(1-VLOOKUP($A214,[1]Hugst!$R$5:$W$9,MATCH(ROUNDUP((M$1)/10,0)*10,[1]Hugst!$R$4:$W$4,0))))</f>
        <v>0</v>
      </c>
      <c r="N214" s="168">
        <f ca="1">IF($C214-N$1&lt;År1,0,M213*(1-VLOOKUP($A214,[1]Hugst!$R$5:$W$9,MATCH(ROUNDUP((N$1)/10,0)*10,[1]Hugst!$R$4:$W$4,0))))</f>
        <v>0</v>
      </c>
      <c r="O214" s="168">
        <f ca="1">IF($C214-O$1&lt;År1,0,N213*(1-VLOOKUP($A214,[1]Hugst!$R$5:$W$9,MATCH(ROUNDUP((O$1)/10,0)*10,[1]Hugst!$R$4:$W$4,0))))</f>
        <v>0</v>
      </c>
      <c r="P214" s="168">
        <f ca="1">IF($C214-P$1&lt;År1,0,O213*(1-VLOOKUP($A214,[1]Hugst!$R$5:$W$9,MATCH(ROUNDUP((P$1)/10,0)*10,[1]Hugst!$R$4:$W$4,0))))</f>
        <v>0</v>
      </c>
      <c r="Q214" s="168">
        <f ca="1">IF($C214-Q$1&lt;År1,0,P213*(1-VLOOKUP($A214,[1]Hugst!$R$5:$W$9,MATCH(ROUNDUP((Q$1)/10,0)*10,[1]Hugst!$R$4:$W$4,0))))</f>
        <v>0</v>
      </c>
      <c r="R214" s="168">
        <f ca="1">IF($C214-R$1&lt;År1,0,Q213*(1-VLOOKUP($A214,[1]Hugst!$R$5:$W$9,MATCH(ROUNDUP((R$1)/10,0)*10,[1]Hugst!$R$4:$W$4,0))))</f>
        <v>0</v>
      </c>
      <c r="S214" s="168">
        <f ca="1">IF($C214-S$1&lt;År1,0,R213*(1-VLOOKUP($A214,[1]Hugst!$R$5:$W$9,MATCH(ROUNDUP((S$1)/10,0)*10,[1]Hugst!$R$4:$W$4,0))))</f>
        <v>0</v>
      </c>
      <c r="T214" s="168">
        <f ca="1">IF($C214-T$1&lt;År1,0,S213*(1-VLOOKUP($A214,[1]Hugst!$R$5:$W$9,MATCH(ROUNDUP((T$1)/10,0)*10,[1]Hugst!$R$4:$W$4,0))))</f>
        <v>0</v>
      </c>
      <c r="U214" s="168">
        <f ca="1">IF($C214-U$1&lt;År1,0,T213*(1-VLOOKUP($A214,[1]Hugst!$R$5:$W$9,MATCH(ROUNDUP((U$1)/10,0)*10,[1]Hugst!$R$4:$W$4,0))))</f>
        <v>0</v>
      </c>
      <c r="V214" s="168">
        <f ca="1">IF($C214-V$1&lt;År1,0,U213*(1-VLOOKUP($A214,[1]Hugst!$R$5:$W$9,MATCH(ROUNDUP((V$1)/10,0)*10,[1]Hugst!$R$4:$W$4,0))))</f>
        <v>0</v>
      </c>
      <c r="W214" s="168">
        <f ca="1">IF($C214-W$1&lt;År1,0,V213*(1-VLOOKUP($A214,[1]Hugst!$R$5:$W$9,MATCH(ROUNDUP((W$1)/10,0)*10,[1]Hugst!$R$4:$W$4,0))))</f>
        <v>0</v>
      </c>
      <c r="X214" s="168">
        <f ca="1">IF($C214-X$1&lt;År1,0,W213*(1-VLOOKUP($A214,[1]Hugst!$R$5:$W$9,MATCH(ROUNDUP((X$1)/10,0)*10,[1]Hugst!$R$4:$W$4,0))))</f>
        <v>0</v>
      </c>
      <c r="Y214" s="168">
        <f ca="1">IF($C214-Y$1&lt;År1,0,X213*(1-VLOOKUP($A214,[1]Hugst!$R$5:$W$9,MATCH(ROUNDUP((Y$1)/10,0)*10,[1]Hugst!$R$4:$W$4,0))))</f>
        <v>0</v>
      </c>
      <c r="Z214" s="168">
        <f ca="1">IF($C214-Z$1&lt;År1,0,Y213*(1-VLOOKUP($A214,[1]Hugst!$R$5:$W$9,MATCH(ROUNDUP((Z$1)/10,0)*10,[1]Hugst!$R$4:$W$4,0))))</f>
        <v>0</v>
      </c>
      <c r="AA214" s="168">
        <f ca="1">IF($C214-AA$1&lt;År1,0,Z213*(1-VLOOKUP($A214,[1]Hugst!$R$5:$W$9,MATCH(ROUNDUP((AA$1)/10,0)*10,[1]Hugst!$R$4:$W$4,0))))</f>
        <v>0</v>
      </c>
      <c r="AB214" s="168">
        <f ca="1">IF($C214-AB$1&lt;År1,0,AA213*(1-VLOOKUP($A214,[1]Hugst!$R$5:$W$9,MATCH(ROUNDUP((AB$1)/10,0)*10,[1]Hugst!$R$4:$W$4,0))))</f>
        <v>0</v>
      </c>
      <c r="AC214" s="168">
        <f ca="1">IF($C214-AC$1&lt;År1,0,AB213*(1-VLOOKUP($A214,[1]Hugst!$R$5:$W$9,MATCH(ROUNDUP((AC$1)/10,0)*10,[1]Hugst!$R$4:$W$4,0))))</f>
        <v>0</v>
      </c>
      <c r="AD214" s="168">
        <f ca="1">IF($C214-AD$1&lt;År1,0,AC213*(1-VLOOKUP($A214,[1]Hugst!$R$5:$W$9,MATCH(ROUNDUP((AD$1)/10,0)*10,[1]Hugst!$R$4:$W$4,0))))</f>
        <v>0</v>
      </c>
      <c r="AE214" s="168">
        <f ca="1">IF($C214-AE$1&lt;År1,0,AD213*(1-VLOOKUP($A214,[1]Hugst!$R$5:$W$9,MATCH(ROUNDUP((AE$1)/10,0)*10,[1]Hugst!$R$4:$W$4,0))))</f>
        <v>0</v>
      </c>
      <c r="AF214" s="168">
        <f ca="1">IF($C214-AF$1&lt;År1,0,AE213*(1-VLOOKUP($A214,[1]Hugst!$R$5:$W$9,MATCH(ROUNDUP((AF$1)/10,0)*10,[1]Hugst!$R$4:$W$4,0))))</f>
        <v>0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*VLOOKUP(A215,Skovbrug!$A$13:$D$17,IF('Skovbrug-alder'!C215&lt;=År2,3,4),FALSE)-IF(C215&gt;2020,SUM(INDEX($C$1:$D$311,MATCH(1,(2020=$C$1:$C$311)*(B215=$B$1:$B$311)*(A215=$A$1:$A$311),0),2):D214),0))</f>
        <v>0</v>
      </c>
      <c r="E215" s="168">
        <f t="shared" ca="1" si="4"/>
        <v>0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8">
        <f ca="1">IF($C215-G$1&lt;År1,0,F214*(1-VLOOKUP($A215,[1]Hugst!$R$5:$W$9,MATCH(ROUNDUP((G$1)/10,0)*10,[1]Hugst!$R$4:$W$4,0))))</f>
        <v>0</v>
      </c>
      <c r="H215" s="168">
        <f ca="1">IF($C215-H$1&lt;År1,0,G214*(1-VLOOKUP($A215,[1]Hugst!$R$5:$W$9,MATCH(ROUNDUP((H$1)/10,0)*10,[1]Hugst!$R$4:$W$4,0))))</f>
        <v>0</v>
      </c>
      <c r="I215" s="168">
        <f ca="1">IF($C215-I$1&lt;År1,0,H214*(1-VLOOKUP($A215,[1]Hugst!$R$5:$W$9,MATCH(ROUNDUP((I$1)/10,0)*10,[1]Hugst!$R$4:$W$4,0))))</f>
        <v>0</v>
      </c>
      <c r="J215" s="168">
        <f ca="1">IF($C215-J$1&lt;År1,0,I214*(1-VLOOKUP($A215,[1]Hugst!$R$5:$W$9,MATCH(ROUNDUP((J$1)/10,0)*10,[1]Hugst!$R$4:$W$4,0))))</f>
        <v>0</v>
      </c>
      <c r="K215" s="168">
        <f ca="1">IF($C215-K$1&lt;År1,0,J214*(1-VLOOKUP($A215,[1]Hugst!$R$5:$W$9,MATCH(ROUNDUP((K$1)/10,0)*10,[1]Hugst!$R$4:$W$4,0))))</f>
        <v>0</v>
      </c>
      <c r="L215" s="168">
        <f ca="1">IF($C215-L$1&lt;År1,0,K214*(1-VLOOKUP($A215,[1]Hugst!$R$5:$W$9,MATCH(ROUNDUP((L$1)/10,0)*10,[1]Hugst!$R$4:$W$4,0))))</f>
        <v>0</v>
      </c>
      <c r="M215" s="168">
        <f ca="1">IF($C215-M$1&lt;År1,0,L214*(1-VLOOKUP($A215,[1]Hugst!$R$5:$W$9,MATCH(ROUNDUP((M$1)/10,0)*10,[1]Hugst!$R$4:$W$4,0))))</f>
        <v>0</v>
      </c>
      <c r="N215" s="168">
        <f ca="1">IF($C215-N$1&lt;År1,0,M214*(1-VLOOKUP($A215,[1]Hugst!$R$5:$W$9,MATCH(ROUNDUP((N$1)/10,0)*10,[1]Hugst!$R$4:$W$4,0))))</f>
        <v>0</v>
      </c>
      <c r="O215" s="168">
        <f ca="1">IF($C215-O$1&lt;År1,0,N214*(1-VLOOKUP($A215,[1]Hugst!$R$5:$W$9,MATCH(ROUNDUP((O$1)/10,0)*10,[1]Hugst!$R$4:$W$4,0))))</f>
        <v>0</v>
      </c>
      <c r="P215" s="168">
        <f ca="1">IF($C215-P$1&lt;År1,0,O214*(1-VLOOKUP($A215,[1]Hugst!$R$5:$W$9,MATCH(ROUNDUP((P$1)/10,0)*10,[1]Hugst!$R$4:$W$4,0))))</f>
        <v>0</v>
      </c>
      <c r="Q215" s="168">
        <f ca="1">IF($C215-Q$1&lt;År1,0,P214*(1-VLOOKUP($A215,[1]Hugst!$R$5:$W$9,MATCH(ROUNDUP((Q$1)/10,0)*10,[1]Hugst!$R$4:$W$4,0))))</f>
        <v>0</v>
      </c>
      <c r="R215" s="168">
        <f ca="1">IF($C215-R$1&lt;År1,0,Q214*(1-VLOOKUP($A215,[1]Hugst!$R$5:$W$9,MATCH(ROUNDUP((R$1)/10,0)*10,[1]Hugst!$R$4:$W$4,0))))</f>
        <v>0</v>
      </c>
      <c r="S215" s="168">
        <f ca="1">IF($C215-S$1&lt;År1,0,R214*(1-VLOOKUP($A215,[1]Hugst!$R$5:$W$9,MATCH(ROUNDUP((S$1)/10,0)*10,[1]Hugst!$R$4:$W$4,0))))</f>
        <v>0</v>
      </c>
      <c r="T215" s="168">
        <f ca="1">IF($C215-T$1&lt;År1,0,S214*(1-VLOOKUP($A215,[1]Hugst!$R$5:$W$9,MATCH(ROUNDUP((T$1)/10,0)*10,[1]Hugst!$R$4:$W$4,0))))</f>
        <v>0</v>
      </c>
      <c r="U215" s="168">
        <f ca="1">IF($C215-U$1&lt;År1,0,T214*(1-VLOOKUP($A215,[1]Hugst!$R$5:$W$9,MATCH(ROUNDUP((U$1)/10,0)*10,[1]Hugst!$R$4:$W$4,0))))</f>
        <v>0</v>
      </c>
      <c r="V215" s="168">
        <f ca="1">IF($C215-V$1&lt;År1,0,U214*(1-VLOOKUP($A215,[1]Hugst!$R$5:$W$9,MATCH(ROUNDUP((V$1)/10,0)*10,[1]Hugst!$R$4:$W$4,0))))</f>
        <v>0</v>
      </c>
      <c r="W215" s="168">
        <f ca="1">IF($C215-W$1&lt;År1,0,V214*(1-VLOOKUP($A215,[1]Hugst!$R$5:$W$9,MATCH(ROUNDUP((W$1)/10,0)*10,[1]Hugst!$R$4:$W$4,0))))</f>
        <v>0</v>
      </c>
      <c r="X215" s="168">
        <f ca="1">IF($C215-X$1&lt;År1,0,W214*(1-VLOOKUP($A215,[1]Hugst!$R$5:$W$9,MATCH(ROUNDUP((X$1)/10,0)*10,[1]Hugst!$R$4:$W$4,0))))</f>
        <v>0</v>
      </c>
      <c r="Y215" s="168">
        <f ca="1">IF($C215-Y$1&lt;År1,0,X214*(1-VLOOKUP($A215,[1]Hugst!$R$5:$W$9,MATCH(ROUNDUP((Y$1)/10,0)*10,[1]Hugst!$R$4:$W$4,0))))</f>
        <v>0</v>
      </c>
      <c r="Z215" s="168">
        <f ca="1">IF($C215-Z$1&lt;År1,0,Y214*(1-VLOOKUP($A215,[1]Hugst!$R$5:$W$9,MATCH(ROUNDUP((Z$1)/10,0)*10,[1]Hugst!$R$4:$W$4,0))))</f>
        <v>0</v>
      </c>
      <c r="AA215" s="168">
        <f ca="1">IF($C215-AA$1&lt;År1,0,Z214*(1-VLOOKUP($A215,[1]Hugst!$R$5:$W$9,MATCH(ROUNDUP((AA$1)/10,0)*10,[1]Hugst!$R$4:$W$4,0))))</f>
        <v>0</v>
      </c>
      <c r="AB215" s="168">
        <f ca="1">IF($C215-AB$1&lt;År1,0,AA214*(1-VLOOKUP($A215,[1]Hugst!$R$5:$W$9,MATCH(ROUNDUP((AB$1)/10,0)*10,[1]Hugst!$R$4:$W$4,0))))</f>
        <v>0</v>
      </c>
      <c r="AC215" s="168">
        <f ca="1">IF($C215-AC$1&lt;År1,0,AB214*(1-VLOOKUP($A215,[1]Hugst!$R$5:$W$9,MATCH(ROUNDUP((AC$1)/10,0)*10,[1]Hugst!$R$4:$W$4,0))))</f>
        <v>0</v>
      </c>
      <c r="AD215" s="168">
        <f ca="1">IF($C215-AD$1&lt;År1,0,AC214*(1-VLOOKUP($A215,[1]Hugst!$R$5:$W$9,MATCH(ROUNDUP((AD$1)/10,0)*10,[1]Hugst!$R$4:$W$4,0))))</f>
        <v>0</v>
      </c>
      <c r="AE215" s="168">
        <f ca="1">IF($C215-AE$1&lt;År1,0,AD214*(1-VLOOKUP($A215,[1]Hugst!$R$5:$W$9,MATCH(ROUNDUP((AE$1)/10,0)*10,[1]Hugst!$R$4:$W$4,0))))</f>
        <v>0</v>
      </c>
      <c r="AF215" s="168">
        <f ca="1">IF($C215-AF$1&lt;År1,0,AE214*(1-VLOOKUP($A215,[1]Hugst!$R$5:$W$9,MATCH(ROUNDUP((AF$1)/10,0)*10,[1]Hugst!$R$4:$W$4,0))))</f>
        <v>0</v>
      </c>
      <c r="AG215" s="168">
        <f ca="1">IF($C215-AG$1&lt;År1,0,AF214*(1-VLOOKUP($A215,[1]Hugst!$R$5:$W$9,MATCH(ROUNDUP((AG$1)/10,0)*10,[1]Hugst!$R$4:$W$4,0))))</f>
        <v>0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*VLOOKUP(A216,Skovbrug!$A$13:$D$17,IF('Skovbrug-alder'!C216&lt;=År2,3,4),FALSE)-IF(C216&gt;2020,SUM(INDEX($C$1:$D$311,MATCH(1,(2020=$C$1:$C$311)*(B216=$B$1:$B$311)*(A216=$A$1:$A$311),0),2):D215),0))</f>
        <v>0</v>
      </c>
      <c r="E216" s="168">
        <f t="shared" ca="1" si="4"/>
        <v>0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8">
        <f ca="1">IF($C216-G$1&lt;År1,0,F215*(1-VLOOKUP($A216,[1]Hugst!$R$5:$W$9,MATCH(ROUNDUP((G$1)/10,0)*10,[1]Hugst!$R$4:$W$4,0))))</f>
        <v>0</v>
      </c>
      <c r="H216" s="168">
        <f ca="1">IF($C216-H$1&lt;År1,0,G215*(1-VLOOKUP($A216,[1]Hugst!$R$5:$W$9,MATCH(ROUNDUP((H$1)/10,0)*10,[1]Hugst!$R$4:$W$4,0))))</f>
        <v>0</v>
      </c>
      <c r="I216" s="168">
        <f ca="1">IF($C216-I$1&lt;År1,0,H215*(1-VLOOKUP($A216,[1]Hugst!$R$5:$W$9,MATCH(ROUNDUP((I$1)/10,0)*10,[1]Hugst!$R$4:$W$4,0))))</f>
        <v>0</v>
      </c>
      <c r="J216" s="168">
        <f ca="1">IF($C216-J$1&lt;År1,0,I215*(1-VLOOKUP($A216,[1]Hugst!$R$5:$W$9,MATCH(ROUNDUP((J$1)/10,0)*10,[1]Hugst!$R$4:$W$4,0))))</f>
        <v>0</v>
      </c>
      <c r="K216" s="168">
        <f ca="1">IF($C216-K$1&lt;År1,0,J215*(1-VLOOKUP($A216,[1]Hugst!$R$5:$W$9,MATCH(ROUNDUP((K$1)/10,0)*10,[1]Hugst!$R$4:$W$4,0))))</f>
        <v>0</v>
      </c>
      <c r="L216" s="168">
        <f ca="1">IF($C216-L$1&lt;År1,0,K215*(1-VLOOKUP($A216,[1]Hugst!$R$5:$W$9,MATCH(ROUNDUP((L$1)/10,0)*10,[1]Hugst!$R$4:$W$4,0))))</f>
        <v>0</v>
      </c>
      <c r="M216" s="168">
        <f ca="1">IF($C216-M$1&lt;År1,0,L215*(1-VLOOKUP($A216,[1]Hugst!$R$5:$W$9,MATCH(ROUNDUP((M$1)/10,0)*10,[1]Hugst!$R$4:$W$4,0))))</f>
        <v>0</v>
      </c>
      <c r="N216" s="168">
        <f ca="1">IF($C216-N$1&lt;År1,0,M215*(1-VLOOKUP($A216,[1]Hugst!$R$5:$W$9,MATCH(ROUNDUP((N$1)/10,0)*10,[1]Hugst!$R$4:$W$4,0))))</f>
        <v>0</v>
      </c>
      <c r="O216" s="168">
        <f ca="1">IF($C216-O$1&lt;År1,0,N215*(1-VLOOKUP($A216,[1]Hugst!$R$5:$W$9,MATCH(ROUNDUP((O$1)/10,0)*10,[1]Hugst!$R$4:$W$4,0))))</f>
        <v>0</v>
      </c>
      <c r="P216" s="168">
        <f ca="1">IF($C216-P$1&lt;År1,0,O215*(1-VLOOKUP($A216,[1]Hugst!$R$5:$W$9,MATCH(ROUNDUP((P$1)/10,0)*10,[1]Hugst!$R$4:$W$4,0))))</f>
        <v>0</v>
      </c>
      <c r="Q216" s="168">
        <f ca="1">IF($C216-Q$1&lt;År1,0,P215*(1-VLOOKUP($A216,[1]Hugst!$R$5:$W$9,MATCH(ROUNDUP((Q$1)/10,0)*10,[1]Hugst!$R$4:$W$4,0))))</f>
        <v>0</v>
      </c>
      <c r="R216" s="168">
        <f ca="1">IF($C216-R$1&lt;År1,0,Q215*(1-VLOOKUP($A216,[1]Hugst!$R$5:$W$9,MATCH(ROUNDUP((R$1)/10,0)*10,[1]Hugst!$R$4:$W$4,0))))</f>
        <v>0</v>
      </c>
      <c r="S216" s="168">
        <f ca="1">IF($C216-S$1&lt;År1,0,R215*(1-VLOOKUP($A216,[1]Hugst!$R$5:$W$9,MATCH(ROUNDUP((S$1)/10,0)*10,[1]Hugst!$R$4:$W$4,0))))</f>
        <v>0</v>
      </c>
      <c r="T216" s="168">
        <f ca="1">IF($C216-T$1&lt;År1,0,S215*(1-VLOOKUP($A216,[1]Hugst!$R$5:$W$9,MATCH(ROUNDUP((T$1)/10,0)*10,[1]Hugst!$R$4:$W$4,0))))</f>
        <v>0</v>
      </c>
      <c r="U216" s="168">
        <f ca="1">IF($C216-U$1&lt;År1,0,T215*(1-VLOOKUP($A216,[1]Hugst!$R$5:$W$9,MATCH(ROUNDUP((U$1)/10,0)*10,[1]Hugst!$R$4:$W$4,0))))</f>
        <v>0</v>
      </c>
      <c r="V216" s="168">
        <f ca="1">IF($C216-V$1&lt;År1,0,U215*(1-VLOOKUP($A216,[1]Hugst!$R$5:$W$9,MATCH(ROUNDUP((V$1)/10,0)*10,[1]Hugst!$R$4:$W$4,0))))</f>
        <v>0</v>
      </c>
      <c r="W216" s="168">
        <f ca="1">IF($C216-W$1&lt;År1,0,V215*(1-VLOOKUP($A216,[1]Hugst!$R$5:$W$9,MATCH(ROUNDUP((W$1)/10,0)*10,[1]Hugst!$R$4:$W$4,0))))</f>
        <v>0</v>
      </c>
      <c r="X216" s="168">
        <f ca="1">IF($C216-X$1&lt;År1,0,W215*(1-VLOOKUP($A216,[1]Hugst!$R$5:$W$9,MATCH(ROUNDUP((X$1)/10,0)*10,[1]Hugst!$R$4:$W$4,0))))</f>
        <v>0</v>
      </c>
      <c r="Y216" s="168">
        <f ca="1">IF($C216-Y$1&lt;År1,0,X215*(1-VLOOKUP($A216,[1]Hugst!$R$5:$W$9,MATCH(ROUNDUP((Y$1)/10,0)*10,[1]Hugst!$R$4:$W$4,0))))</f>
        <v>0</v>
      </c>
      <c r="Z216" s="168">
        <f ca="1">IF($C216-Z$1&lt;År1,0,Y215*(1-VLOOKUP($A216,[1]Hugst!$R$5:$W$9,MATCH(ROUNDUP((Z$1)/10,0)*10,[1]Hugst!$R$4:$W$4,0))))</f>
        <v>0</v>
      </c>
      <c r="AA216" s="168">
        <f ca="1">IF($C216-AA$1&lt;År1,0,Z215*(1-VLOOKUP($A216,[1]Hugst!$R$5:$W$9,MATCH(ROUNDUP((AA$1)/10,0)*10,[1]Hugst!$R$4:$W$4,0))))</f>
        <v>0</v>
      </c>
      <c r="AB216" s="168">
        <f ca="1">IF($C216-AB$1&lt;År1,0,AA215*(1-VLOOKUP($A216,[1]Hugst!$R$5:$W$9,MATCH(ROUNDUP((AB$1)/10,0)*10,[1]Hugst!$R$4:$W$4,0))))</f>
        <v>0</v>
      </c>
      <c r="AC216" s="168">
        <f ca="1">IF($C216-AC$1&lt;År1,0,AB215*(1-VLOOKUP($A216,[1]Hugst!$R$5:$W$9,MATCH(ROUNDUP((AC$1)/10,0)*10,[1]Hugst!$R$4:$W$4,0))))</f>
        <v>0</v>
      </c>
      <c r="AD216" s="168">
        <f ca="1">IF($C216-AD$1&lt;År1,0,AC215*(1-VLOOKUP($A216,[1]Hugst!$R$5:$W$9,MATCH(ROUNDUP((AD$1)/10,0)*10,[1]Hugst!$R$4:$W$4,0))))</f>
        <v>0</v>
      </c>
      <c r="AE216" s="168">
        <f ca="1">IF($C216-AE$1&lt;År1,0,AD215*(1-VLOOKUP($A216,[1]Hugst!$R$5:$W$9,MATCH(ROUNDUP((AE$1)/10,0)*10,[1]Hugst!$R$4:$W$4,0))))</f>
        <v>0</v>
      </c>
      <c r="AF216" s="168">
        <f ca="1">IF($C216-AF$1&lt;År1,0,AE215*(1-VLOOKUP($A216,[1]Hugst!$R$5:$W$9,MATCH(ROUNDUP((AF$1)/10,0)*10,[1]Hugst!$R$4:$W$4,0))))</f>
        <v>0</v>
      </c>
      <c r="AG216" s="168">
        <f ca="1">IF($C216-AG$1&lt;År1,0,AF215*(1-VLOOKUP($A216,[1]Hugst!$R$5:$W$9,MATCH(ROUNDUP((AG$1)/10,0)*10,[1]Hugst!$R$4:$W$4,0))))</f>
        <v>0</v>
      </c>
      <c r="AH216" s="168">
        <f ca="1">IF($C216-AH$1&lt;År1,0,AG215*(1-VLOOKUP($A216,[1]Hugst!$R$5:$W$9,MATCH(ROUNDUP((AH$1)/10,0)*10,[1]Hugst!$R$4:$W$4,0))))</f>
        <v>0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*VLOOKUP(A217,Skovbrug!$A$13:$D$17,IF('Skovbrug-alder'!C217&lt;=År2,3,4),FALSE)-IF(C217&gt;2020,SUM(INDEX($C$1:$D$311,MATCH(1,(2020=$C$1:$C$311)*(B217=$B$1:$B$311)*(A217=$A$1:$A$311),0),2):D216),0))</f>
        <v>0</v>
      </c>
      <c r="E217" s="168">
        <f t="shared" ca="1" si="4"/>
        <v>0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8">
        <f ca="1">IF($C217-G$1&lt;År1,0,F216*(1-VLOOKUP($A217,[1]Hugst!$R$5:$W$9,MATCH(ROUNDUP((G$1)/10,0)*10,[1]Hugst!$R$4:$W$4,0))))</f>
        <v>0</v>
      </c>
      <c r="H217" s="168">
        <f ca="1">IF($C217-H$1&lt;År1,0,G216*(1-VLOOKUP($A217,[1]Hugst!$R$5:$W$9,MATCH(ROUNDUP((H$1)/10,0)*10,[1]Hugst!$R$4:$W$4,0))))</f>
        <v>0</v>
      </c>
      <c r="I217" s="168">
        <f ca="1">IF($C217-I$1&lt;År1,0,H216*(1-VLOOKUP($A217,[1]Hugst!$R$5:$W$9,MATCH(ROUNDUP((I$1)/10,0)*10,[1]Hugst!$R$4:$W$4,0))))</f>
        <v>0</v>
      </c>
      <c r="J217" s="168">
        <f ca="1">IF($C217-J$1&lt;År1,0,I216*(1-VLOOKUP($A217,[1]Hugst!$R$5:$W$9,MATCH(ROUNDUP((J$1)/10,0)*10,[1]Hugst!$R$4:$W$4,0))))</f>
        <v>0</v>
      </c>
      <c r="K217" s="168">
        <f ca="1">IF($C217-K$1&lt;År1,0,J216*(1-VLOOKUP($A217,[1]Hugst!$R$5:$W$9,MATCH(ROUNDUP((K$1)/10,0)*10,[1]Hugst!$R$4:$W$4,0))))</f>
        <v>0</v>
      </c>
      <c r="L217" s="168">
        <f ca="1">IF($C217-L$1&lt;År1,0,K216*(1-VLOOKUP($A217,[1]Hugst!$R$5:$W$9,MATCH(ROUNDUP((L$1)/10,0)*10,[1]Hugst!$R$4:$W$4,0))))</f>
        <v>0</v>
      </c>
      <c r="M217" s="168">
        <f ca="1">IF($C217-M$1&lt;År1,0,L216*(1-VLOOKUP($A217,[1]Hugst!$R$5:$W$9,MATCH(ROUNDUP((M$1)/10,0)*10,[1]Hugst!$R$4:$W$4,0))))</f>
        <v>0</v>
      </c>
      <c r="N217" s="168">
        <f ca="1">IF($C217-N$1&lt;År1,0,M216*(1-VLOOKUP($A217,[1]Hugst!$R$5:$W$9,MATCH(ROUNDUP((N$1)/10,0)*10,[1]Hugst!$R$4:$W$4,0))))</f>
        <v>0</v>
      </c>
      <c r="O217" s="168">
        <f ca="1">IF($C217-O$1&lt;År1,0,N216*(1-VLOOKUP($A217,[1]Hugst!$R$5:$W$9,MATCH(ROUNDUP((O$1)/10,0)*10,[1]Hugst!$R$4:$W$4,0))))</f>
        <v>0</v>
      </c>
      <c r="P217" s="168">
        <f ca="1">IF($C217-P$1&lt;År1,0,O216*(1-VLOOKUP($A217,[1]Hugst!$R$5:$W$9,MATCH(ROUNDUP((P$1)/10,0)*10,[1]Hugst!$R$4:$W$4,0))))</f>
        <v>0</v>
      </c>
      <c r="Q217" s="168">
        <f ca="1">IF($C217-Q$1&lt;År1,0,P216*(1-VLOOKUP($A217,[1]Hugst!$R$5:$W$9,MATCH(ROUNDUP((Q$1)/10,0)*10,[1]Hugst!$R$4:$W$4,0))))</f>
        <v>0</v>
      </c>
      <c r="R217" s="168">
        <f ca="1">IF($C217-R$1&lt;År1,0,Q216*(1-VLOOKUP($A217,[1]Hugst!$R$5:$W$9,MATCH(ROUNDUP((R$1)/10,0)*10,[1]Hugst!$R$4:$W$4,0))))</f>
        <v>0</v>
      </c>
      <c r="S217" s="168">
        <f ca="1">IF($C217-S$1&lt;År1,0,R216*(1-VLOOKUP($A217,[1]Hugst!$R$5:$W$9,MATCH(ROUNDUP((S$1)/10,0)*10,[1]Hugst!$R$4:$W$4,0))))</f>
        <v>0</v>
      </c>
      <c r="T217" s="168">
        <f ca="1">IF($C217-T$1&lt;År1,0,S216*(1-VLOOKUP($A217,[1]Hugst!$R$5:$W$9,MATCH(ROUNDUP((T$1)/10,0)*10,[1]Hugst!$R$4:$W$4,0))))</f>
        <v>0</v>
      </c>
      <c r="U217" s="168">
        <f ca="1">IF($C217-U$1&lt;År1,0,T216*(1-VLOOKUP($A217,[1]Hugst!$R$5:$W$9,MATCH(ROUNDUP((U$1)/10,0)*10,[1]Hugst!$R$4:$W$4,0))))</f>
        <v>0</v>
      </c>
      <c r="V217" s="168">
        <f ca="1">IF($C217-V$1&lt;År1,0,U216*(1-VLOOKUP($A217,[1]Hugst!$R$5:$W$9,MATCH(ROUNDUP((V$1)/10,0)*10,[1]Hugst!$R$4:$W$4,0))))</f>
        <v>0</v>
      </c>
      <c r="W217" s="168">
        <f ca="1">IF($C217-W$1&lt;År1,0,V216*(1-VLOOKUP($A217,[1]Hugst!$R$5:$W$9,MATCH(ROUNDUP((W$1)/10,0)*10,[1]Hugst!$R$4:$W$4,0))))</f>
        <v>0</v>
      </c>
      <c r="X217" s="168">
        <f ca="1">IF($C217-X$1&lt;År1,0,W216*(1-VLOOKUP($A217,[1]Hugst!$R$5:$W$9,MATCH(ROUNDUP((X$1)/10,0)*10,[1]Hugst!$R$4:$W$4,0))))</f>
        <v>0</v>
      </c>
      <c r="Y217" s="168">
        <f ca="1">IF($C217-Y$1&lt;År1,0,X216*(1-VLOOKUP($A217,[1]Hugst!$R$5:$W$9,MATCH(ROUNDUP((Y$1)/10,0)*10,[1]Hugst!$R$4:$W$4,0))))</f>
        <v>0</v>
      </c>
      <c r="Z217" s="168">
        <f ca="1">IF($C217-Z$1&lt;År1,0,Y216*(1-VLOOKUP($A217,[1]Hugst!$R$5:$W$9,MATCH(ROUNDUP((Z$1)/10,0)*10,[1]Hugst!$R$4:$W$4,0))))</f>
        <v>0</v>
      </c>
      <c r="AA217" s="168">
        <f ca="1">IF($C217-AA$1&lt;År1,0,Z216*(1-VLOOKUP($A217,[1]Hugst!$R$5:$W$9,MATCH(ROUNDUP((AA$1)/10,0)*10,[1]Hugst!$R$4:$W$4,0))))</f>
        <v>0</v>
      </c>
      <c r="AB217" s="168">
        <f ca="1">IF($C217-AB$1&lt;År1,0,AA216*(1-VLOOKUP($A217,[1]Hugst!$R$5:$W$9,MATCH(ROUNDUP((AB$1)/10,0)*10,[1]Hugst!$R$4:$W$4,0))))</f>
        <v>0</v>
      </c>
      <c r="AC217" s="168">
        <f ca="1">IF($C217-AC$1&lt;År1,0,AB216*(1-VLOOKUP($A217,[1]Hugst!$R$5:$W$9,MATCH(ROUNDUP((AC$1)/10,0)*10,[1]Hugst!$R$4:$W$4,0))))</f>
        <v>0</v>
      </c>
      <c r="AD217" s="168">
        <f ca="1">IF($C217-AD$1&lt;År1,0,AC216*(1-VLOOKUP($A217,[1]Hugst!$R$5:$W$9,MATCH(ROUNDUP((AD$1)/10,0)*10,[1]Hugst!$R$4:$W$4,0))))</f>
        <v>0</v>
      </c>
      <c r="AE217" s="168">
        <f ca="1">IF($C217-AE$1&lt;År1,0,AD216*(1-VLOOKUP($A217,[1]Hugst!$R$5:$W$9,MATCH(ROUNDUP((AE$1)/10,0)*10,[1]Hugst!$R$4:$W$4,0))))</f>
        <v>0</v>
      </c>
      <c r="AF217" s="168">
        <f ca="1">IF($C217-AF$1&lt;År1,0,AE216*(1-VLOOKUP($A217,[1]Hugst!$R$5:$W$9,MATCH(ROUNDUP((AF$1)/10,0)*10,[1]Hugst!$R$4:$W$4,0))))</f>
        <v>0</v>
      </c>
      <c r="AG217" s="168">
        <f ca="1">IF($C217-AG$1&lt;År1,0,AF216*(1-VLOOKUP($A217,[1]Hugst!$R$5:$W$9,MATCH(ROUNDUP((AG$1)/10,0)*10,[1]Hugst!$R$4:$W$4,0))))</f>
        <v>0</v>
      </c>
      <c r="AH217" s="168">
        <f ca="1">IF($C217-AH$1&lt;År1,0,AG216*(1-VLOOKUP($A217,[1]Hugst!$R$5:$W$9,MATCH(ROUNDUP((AH$1)/10,0)*10,[1]Hugst!$R$4:$W$4,0))))</f>
        <v>0</v>
      </c>
      <c r="AI217" s="168">
        <f ca="1">IF($C217-AI$1&lt;År1,0,AH216*(1-VLOOKUP($A217,[1]Hugst!$R$5:$W$9,MATCH(ROUNDUP((AI$1)/10,0)*10,[1]Hugst!$R$4:$W$4,0))))</f>
        <v>0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*VLOOKUP(A218,Skovbrug!$A$13:$D$17,IF('Skovbrug-alder'!C218&lt;=År2,3,4),FALSE)-IF(C218&gt;2020,SUM(INDEX($C$1:$D$311,MATCH(1,(2020=$C$1:$C$311)*(B218=$B$1:$B$311)*(A218=$A$1:$A$311),0),2):D217),0))</f>
        <v>0</v>
      </c>
      <c r="E218" s="168">
        <f t="shared" ca="1" si="4"/>
        <v>0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8">
        <f ca="1">IF($C218-G$1&lt;År1,0,F217*(1-VLOOKUP($A218,[1]Hugst!$R$5:$W$9,MATCH(ROUNDUP((G$1)/10,0)*10,[1]Hugst!$R$4:$W$4,0))))</f>
        <v>0</v>
      </c>
      <c r="H218" s="168">
        <f ca="1">IF($C218-H$1&lt;År1,0,G217*(1-VLOOKUP($A218,[1]Hugst!$R$5:$W$9,MATCH(ROUNDUP((H$1)/10,0)*10,[1]Hugst!$R$4:$W$4,0))))</f>
        <v>0</v>
      </c>
      <c r="I218" s="168">
        <f ca="1">IF($C218-I$1&lt;År1,0,H217*(1-VLOOKUP($A218,[1]Hugst!$R$5:$W$9,MATCH(ROUNDUP((I$1)/10,0)*10,[1]Hugst!$R$4:$W$4,0))))</f>
        <v>0</v>
      </c>
      <c r="J218" s="168">
        <f ca="1">IF($C218-J$1&lt;År1,0,I217*(1-VLOOKUP($A218,[1]Hugst!$R$5:$W$9,MATCH(ROUNDUP((J$1)/10,0)*10,[1]Hugst!$R$4:$W$4,0))))</f>
        <v>0</v>
      </c>
      <c r="K218" s="168">
        <f ca="1">IF($C218-K$1&lt;År1,0,J217*(1-VLOOKUP($A218,[1]Hugst!$R$5:$W$9,MATCH(ROUNDUP((K$1)/10,0)*10,[1]Hugst!$R$4:$W$4,0))))</f>
        <v>0</v>
      </c>
      <c r="L218" s="168">
        <f ca="1">IF($C218-L$1&lt;År1,0,K217*(1-VLOOKUP($A218,[1]Hugst!$R$5:$W$9,MATCH(ROUNDUP((L$1)/10,0)*10,[1]Hugst!$R$4:$W$4,0))))</f>
        <v>0</v>
      </c>
      <c r="M218" s="168">
        <f ca="1">IF($C218-M$1&lt;År1,0,L217*(1-VLOOKUP($A218,[1]Hugst!$R$5:$W$9,MATCH(ROUNDUP((M$1)/10,0)*10,[1]Hugst!$R$4:$W$4,0))))</f>
        <v>0</v>
      </c>
      <c r="N218" s="168">
        <f ca="1">IF($C218-N$1&lt;År1,0,M217*(1-VLOOKUP($A218,[1]Hugst!$R$5:$W$9,MATCH(ROUNDUP((N$1)/10,0)*10,[1]Hugst!$R$4:$W$4,0))))</f>
        <v>0</v>
      </c>
      <c r="O218" s="168">
        <f ca="1">IF($C218-O$1&lt;År1,0,N217*(1-VLOOKUP($A218,[1]Hugst!$R$5:$W$9,MATCH(ROUNDUP((O$1)/10,0)*10,[1]Hugst!$R$4:$W$4,0))))</f>
        <v>0</v>
      </c>
      <c r="P218" s="168">
        <f ca="1">IF($C218-P$1&lt;År1,0,O217*(1-VLOOKUP($A218,[1]Hugst!$R$5:$W$9,MATCH(ROUNDUP((P$1)/10,0)*10,[1]Hugst!$R$4:$W$4,0))))</f>
        <v>0</v>
      </c>
      <c r="Q218" s="168">
        <f ca="1">IF($C218-Q$1&lt;År1,0,P217*(1-VLOOKUP($A218,[1]Hugst!$R$5:$W$9,MATCH(ROUNDUP((Q$1)/10,0)*10,[1]Hugst!$R$4:$W$4,0))))</f>
        <v>0</v>
      </c>
      <c r="R218" s="168">
        <f ca="1">IF($C218-R$1&lt;År1,0,Q217*(1-VLOOKUP($A218,[1]Hugst!$R$5:$W$9,MATCH(ROUNDUP((R$1)/10,0)*10,[1]Hugst!$R$4:$W$4,0))))</f>
        <v>0</v>
      </c>
      <c r="S218" s="168">
        <f ca="1">IF($C218-S$1&lt;År1,0,R217*(1-VLOOKUP($A218,[1]Hugst!$R$5:$W$9,MATCH(ROUNDUP((S$1)/10,0)*10,[1]Hugst!$R$4:$W$4,0))))</f>
        <v>0</v>
      </c>
      <c r="T218" s="168">
        <f ca="1">IF($C218-T$1&lt;År1,0,S217*(1-VLOOKUP($A218,[1]Hugst!$R$5:$W$9,MATCH(ROUNDUP((T$1)/10,0)*10,[1]Hugst!$R$4:$W$4,0))))</f>
        <v>0</v>
      </c>
      <c r="U218" s="168">
        <f ca="1">IF($C218-U$1&lt;År1,0,T217*(1-VLOOKUP($A218,[1]Hugst!$R$5:$W$9,MATCH(ROUNDUP((U$1)/10,0)*10,[1]Hugst!$R$4:$W$4,0))))</f>
        <v>0</v>
      </c>
      <c r="V218" s="168">
        <f ca="1">IF($C218-V$1&lt;År1,0,U217*(1-VLOOKUP($A218,[1]Hugst!$R$5:$W$9,MATCH(ROUNDUP((V$1)/10,0)*10,[1]Hugst!$R$4:$W$4,0))))</f>
        <v>0</v>
      </c>
      <c r="W218" s="168">
        <f ca="1">IF($C218-W$1&lt;År1,0,V217*(1-VLOOKUP($A218,[1]Hugst!$R$5:$W$9,MATCH(ROUNDUP((W$1)/10,0)*10,[1]Hugst!$R$4:$W$4,0))))</f>
        <v>0</v>
      </c>
      <c r="X218" s="168">
        <f ca="1">IF($C218-X$1&lt;År1,0,W217*(1-VLOOKUP($A218,[1]Hugst!$R$5:$W$9,MATCH(ROUNDUP((X$1)/10,0)*10,[1]Hugst!$R$4:$W$4,0))))</f>
        <v>0</v>
      </c>
      <c r="Y218" s="168">
        <f ca="1">IF($C218-Y$1&lt;År1,0,X217*(1-VLOOKUP($A218,[1]Hugst!$R$5:$W$9,MATCH(ROUNDUP((Y$1)/10,0)*10,[1]Hugst!$R$4:$W$4,0))))</f>
        <v>0</v>
      </c>
      <c r="Z218" s="168">
        <f ca="1">IF($C218-Z$1&lt;År1,0,Y217*(1-VLOOKUP($A218,[1]Hugst!$R$5:$W$9,MATCH(ROUNDUP((Z$1)/10,0)*10,[1]Hugst!$R$4:$W$4,0))))</f>
        <v>0</v>
      </c>
      <c r="AA218" s="168">
        <f ca="1">IF($C218-AA$1&lt;År1,0,Z217*(1-VLOOKUP($A218,[1]Hugst!$R$5:$W$9,MATCH(ROUNDUP((AA$1)/10,0)*10,[1]Hugst!$R$4:$W$4,0))))</f>
        <v>0</v>
      </c>
      <c r="AB218" s="168">
        <f ca="1">IF($C218-AB$1&lt;År1,0,AA217*(1-VLOOKUP($A218,[1]Hugst!$R$5:$W$9,MATCH(ROUNDUP((AB$1)/10,0)*10,[1]Hugst!$R$4:$W$4,0))))</f>
        <v>0</v>
      </c>
      <c r="AC218" s="168">
        <f ca="1">IF($C218-AC$1&lt;År1,0,AB217*(1-VLOOKUP($A218,[1]Hugst!$R$5:$W$9,MATCH(ROUNDUP((AC$1)/10,0)*10,[1]Hugst!$R$4:$W$4,0))))</f>
        <v>0</v>
      </c>
      <c r="AD218" s="168">
        <f ca="1">IF($C218-AD$1&lt;År1,0,AC217*(1-VLOOKUP($A218,[1]Hugst!$R$5:$W$9,MATCH(ROUNDUP((AD$1)/10,0)*10,[1]Hugst!$R$4:$W$4,0))))</f>
        <v>0</v>
      </c>
      <c r="AE218" s="168">
        <f ca="1">IF($C218-AE$1&lt;År1,0,AD217*(1-VLOOKUP($A218,[1]Hugst!$R$5:$W$9,MATCH(ROUNDUP((AE$1)/10,0)*10,[1]Hugst!$R$4:$W$4,0))))</f>
        <v>0</v>
      </c>
      <c r="AF218" s="168">
        <f ca="1">IF($C218-AF$1&lt;År1,0,AE217*(1-VLOOKUP($A218,[1]Hugst!$R$5:$W$9,MATCH(ROUNDUP((AF$1)/10,0)*10,[1]Hugst!$R$4:$W$4,0))))</f>
        <v>0</v>
      </c>
      <c r="AG218" s="168">
        <f ca="1">IF($C218-AG$1&lt;År1,0,AF217*(1-VLOOKUP($A218,[1]Hugst!$R$5:$W$9,MATCH(ROUNDUP((AG$1)/10,0)*10,[1]Hugst!$R$4:$W$4,0))))</f>
        <v>0</v>
      </c>
      <c r="AH218" s="168">
        <f ca="1">IF($C218-AH$1&lt;År1,0,AG217*(1-VLOOKUP($A218,[1]Hugst!$R$5:$W$9,MATCH(ROUNDUP((AH$1)/10,0)*10,[1]Hugst!$R$4:$W$4,0))))</f>
        <v>0</v>
      </c>
      <c r="AI218" s="168">
        <f ca="1">IF($C218-AI$1&lt;År1,0,AH217*(1-VLOOKUP($A218,[1]Hugst!$R$5:$W$9,MATCH(ROUNDUP((AI$1)/10,0)*10,[1]Hugst!$R$4:$W$4,0))))</f>
        <v>0</v>
      </c>
      <c r="AJ218" s="168">
        <f ca="1">IF($C218-AJ$1&lt;År1,0,AI217*(1-VLOOKUP($A218,[1]Hugst!$R$5:$W$9,MATCH(ROUNDUP((AJ$1)/10,0)*10,[1]Hugst!$R$4:$W$4,0))))</f>
        <v>0</v>
      </c>
    </row>
    <row r="219" spans="1:36" x14ac:dyDescent="0.25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*VLOOKUP(A219,Skovbrug!$A$13:$D$17,IF('Skovbrug-alder'!C219&lt;=År2,3,4),FALSE)-IF(C219&gt;2020,SUM(INDEX($C$1:$D$311,MATCH(1,(2020=$C$1:$C$311)*(B219=$B$1:$B$311)*(A219=$A$1:$A$311),0),2):D218),0)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*VLOOKUP(A220,Skovbrug!$A$13:$D$17,IF('Skovbrug-alder'!C220&lt;=År2,3,4),FALSE)-IF(C220&gt;2020,SUM(INDEX($C$1:$D$311,MATCH(1,(2020=$C$1:$C$311)*(B220=$B$1:$B$311)*(A220=$A$1:$A$311),0),2):D219),0))</f>
        <v>0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8">
        <f ca="1">IF($C220-G$1&lt;År1,0,F219*(1-VLOOKUP($A220,[1]Hugst!$R$5:$W$9,MATCH(ROUNDUP((G$1)/10,0)*10,[1]Hugst!$R$4:$W$4,0))))</f>
        <v>0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*VLOOKUP(A221,Skovbrug!$A$13:$D$17,IF('Skovbrug-alder'!C221&lt;=År2,3,4),FALSE)-IF(C221&gt;2020,SUM(INDEX($C$1:$D$311,MATCH(1,(2020=$C$1:$C$311)*(B221=$B$1:$B$311)*(A221=$A$1:$A$311),0),2):D220),0))</f>
        <v>0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8">
        <f ca="1">IF($C221-G$1&lt;År1,0,F220*(1-VLOOKUP($A221,[1]Hugst!$R$5:$W$9,MATCH(ROUNDUP((G$1)/10,0)*10,[1]Hugst!$R$4:$W$4,0))))</f>
        <v>0</v>
      </c>
      <c r="H221" s="168">
        <f ca="1">IF($C221-H$1&lt;År1,0,G220*(1-VLOOKUP($A221,[1]Hugst!$R$5:$W$9,MATCH(ROUNDUP((H$1)/10,0)*10,[1]Hugst!$R$4:$W$4,0))))</f>
        <v>0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*VLOOKUP(A222,Skovbrug!$A$13:$D$17,IF('Skovbrug-alder'!C222&lt;=År2,3,4),FALSE)-IF(C222&gt;2020,SUM(INDEX($C$1:$D$311,MATCH(1,(2020=$C$1:$C$311)*(B222=$B$1:$B$311)*(A222=$A$1:$A$311),0),2):D221),0))</f>
        <v>0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8">
        <f ca="1">IF($C222-G$1&lt;År1,0,F221*(1-VLOOKUP($A222,[1]Hugst!$R$5:$W$9,MATCH(ROUNDUP((G$1)/10,0)*10,[1]Hugst!$R$4:$W$4,0))))</f>
        <v>0</v>
      </c>
      <c r="H222" s="168">
        <f ca="1">IF($C222-H$1&lt;År1,0,G221*(1-VLOOKUP($A222,[1]Hugst!$R$5:$W$9,MATCH(ROUNDUP((H$1)/10,0)*10,[1]Hugst!$R$4:$W$4,0))))</f>
        <v>0</v>
      </c>
      <c r="I222" s="168">
        <f ca="1">IF($C222-I$1&lt;År1,0,H221*(1-VLOOKUP($A222,[1]Hugst!$R$5:$W$9,MATCH(ROUNDUP((I$1)/10,0)*10,[1]Hugst!$R$4:$W$4,0))))</f>
        <v>0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*VLOOKUP(A223,Skovbrug!$A$13:$D$17,IF('Skovbrug-alder'!C223&lt;=År2,3,4),FALSE)-IF(C223&gt;2020,SUM(INDEX($C$1:$D$311,MATCH(1,(2020=$C$1:$C$311)*(B223=$B$1:$B$311)*(A223=$A$1:$A$311),0),2):D222),0))</f>
        <v>0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8">
        <f ca="1">IF($C223-G$1&lt;År1,0,F222*(1-VLOOKUP($A223,[1]Hugst!$R$5:$W$9,MATCH(ROUNDUP((G$1)/10,0)*10,[1]Hugst!$R$4:$W$4,0))))</f>
        <v>0</v>
      </c>
      <c r="H223" s="168">
        <f ca="1">IF($C223-H$1&lt;År1,0,G222*(1-VLOOKUP($A223,[1]Hugst!$R$5:$W$9,MATCH(ROUNDUP((H$1)/10,0)*10,[1]Hugst!$R$4:$W$4,0))))</f>
        <v>0</v>
      </c>
      <c r="I223" s="168">
        <f ca="1">IF($C223-I$1&lt;År1,0,H222*(1-VLOOKUP($A223,[1]Hugst!$R$5:$W$9,MATCH(ROUNDUP((I$1)/10,0)*10,[1]Hugst!$R$4:$W$4,0))))</f>
        <v>0</v>
      </c>
      <c r="J223" s="168">
        <f ca="1">IF($C223-J$1&lt;År1,0,I222*(1-VLOOKUP($A223,[1]Hugst!$R$5:$W$9,MATCH(ROUNDUP((J$1)/10,0)*10,[1]Hugst!$R$4:$W$4,0))))</f>
        <v>0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*VLOOKUP(A224,Skovbrug!$A$13:$D$17,IF('Skovbrug-alder'!C224&lt;=År2,3,4),FALSE)-IF(C224&gt;2020,SUM(INDEX($C$1:$D$311,MATCH(1,(2020=$C$1:$C$311)*(B224=$B$1:$B$311)*(A224=$A$1:$A$311),0),2):D223),0))</f>
        <v>0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8">
        <f ca="1">IF($C224-G$1&lt;År1,0,F223*(1-VLOOKUP($A224,[1]Hugst!$R$5:$W$9,MATCH(ROUNDUP((G$1)/10,0)*10,[1]Hugst!$R$4:$W$4,0))))</f>
        <v>0</v>
      </c>
      <c r="H224" s="168">
        <f ca="1">IF($C224-H$1&lt;År1,0,G223*(1-VLOOKUP($A224,[1]Hugst!$R$5:$W$9,MATCH(ROUNDUP((H$1)/10,0)*10,[1]Hugst!$R$4:$W$4,0))))</f>
        <v>0</v>
      </c>
      <c r="I224" s="168">
        <f ca="1">IF($C224-I$1&lt;År1,0,H223*(1-VLOOKUP($A224,[1]Hugst!$R$5:$W$9,MATCH(ROUNDUP((I$1)/10,0)*10,[1]Hugst!$R$4:$W$4,0))))</f>
        <v>0</v>
      </c>
      <c r="J224" s="168">
        <f ca="1">IF($C224-J$1&lt;År1,0,I223*(1-VLOOKUP($A224,[1]Hugst!$R$5:$W$9,MATCH(ROUNDUP((J$1)/10,0)*10,[1]Hugst!$R$4:$W$4,0))))</f>
        <v>0</v>
      </c>
      <c r="K224" s="168">
        <f ca="1">IF($C224-K$1&lt;År1,0,J223*(1-VLOOKUP($A224,[1]Hugst!$R$5:$W$9,MATCH(ROUNDUP((K$1)/10,0)*10,[1]Hugst!$R$4:$W$4,0))))</f>
        <v>0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*VLOOKUP(A225,Skovbrug!$A$13:$D$17,IF('Skovbrug-alder'!C225&lt;=År2,3,4),FALSE)-IF(C225&gt;2020,SUM(INDEX($C$1:$D$311,MATCH(1,(2020=$C$1:$C$311)*(B225=$B$1:$B$311)*(A225=$A$1:$A$311),0),2):D224),0))</f>
        <v>0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8">
        <f ca="1">IF($C225-G$1&lt;År1,0,F224*(1-VLOOKUP($A225,[1]Hugst!$R$5:$W$9,MATCH(ROUNDUP((G$1)/10,0)*10,[1]Hugst!$R$4:$W$4,0))))</f>
        <v>0</v>
      </c>
      <c r="H225" s="168">
        <f ca="1">IF($C225-H$1&lt;År1,0,G224*(1-VLOOKUP($A225,[1]Hugst!$R$5:$W$9,MATCH(ROUNDUP((H$1)/10,0)*10,[1]Hugst!$R$4:$W$4,0))))</f>
        <v>0</v>
      </c>
      <c r="I225" s="168">
        <f ca="1">IF($C225-I$1&lt;År1,0,H224*(1-VLOOKUP($A225,[1]Hugst!$R$5:$W$9,MATCH(ROUNDUP((I$1)/10,0)*10,[1]Hugst!$R$4:$W$4,0))))</f>
        <v>0</v>
      </c>
      <c r="J225" s="168">
        <f ca="1">IF($C225-J$1&lt;År1,0,I224*(1-VLOOKUP($A225,[1]Hugst!$R$5:$W$9,MATCH(ROUNDUP((J$1)/10,0)*10,[1]Hugst!$R$4:$W$4,0))))</f>
        <v>0</v>
      </c>
      <c r="K225" s="168">
        <f ca="1">IF($C225-K$1&lt;År1,0,J224*(1-VLOOKUP($A225,[1]Hugst!$R$5:$W$9,MATCH(ROUNDUP((K$1)/10,0)*10,[1]Hugst!$R$4:$W$4,0))))</f>
        <v>0</v>
      </c>
      <c r="L225" s="168">
        <f ca="1">IF($C225-L$1&lt;År1,0,K224*(1-VLOOKUP($A225,[1]Hugst!$R$5:$W$9,MATCH(ROUNDUP((L$1)/10,0)*10,[1]Hugst!$R$4:$W$4,0))))</f>
        <v>0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*VLOOKUP(A226,Skovbrug!$A$13:$D$17,IF('Skovbrug-alder'!C226&lt;=År2,3,4),FALSE)-IF(C226&gt;2020,SUM(INDEX($C$1:$D$311,MATCH(1,(2020=$C$1:$C$311)*(B226=$B$1:$B$311)*(A226=$A$1:$A$311),0),2):D225),0))</f>
        <v>0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8">
        <f ca="1">IF($C226-G$1&lt;År1,0,F225*(1-VLOOKUP($A226,[1]Hugst!$R$5:$W$9,MATCH(ROUNDUP((G$1)/10,0)*10,[1]Hugst!$R$4:$W$4,0))))</f>
        <v>0</v>
      </c>
      <c r="H226" s="168">
        <f ca="1">IF($C226-H$1&lt;År1,0,G225*(1-VLOOKUP($A226,[1]Hugst!$R$5:$W$9,MATCH(ROUNDUP((H$1)/10,0)*10,[1]Hugst!$R$4:$W$4,0))))</f>
        <v>0</v>
      </c>
      <c r="I226" s="168">
        <f ca="1">IF($C226-I$1&lt;År1,0,H225*(1-VLOOKUP($A226,[1]Hugst!$R$5:$W$9,MATCH(ROUNDUP((I$1)/10,0)*10,[1]Hugst!$R$4:$W$4,0))))</f>
        <v>0</v>
      </c>
      <c r="J226" s="168">
        <f ca="1">IF($C226-J$1&lt;År1,0,I225*(1-VLOOKUP($A226,[1]Hugst!$R$5:$W$9,MATCH(ROUNDUP((J$1)/10,0)*10,[1]Hugst!$R$4:$W$4,0))))</f>
        <v>0</v>
      </c>
      <c r="K226" s="168">
        <f ca="1">IF($C226-K$1&lt;År1,0,J225*(1-VLOOKUP($A226,[1]Hugst!$R$5:$W$9,MATCH(ROUNDUP((K$1)/10,0)*10,[1]Hugst!$R$4:$W$4,0))))</f>
        <v>0</v>
      </c>
      <c r="L226" s="168">
        <f ca="1">IF($C226-L$1&lt;År1,0,K225*(1-VLOOKUP($A226,[1]Hugst!$R$5:$W$9,MATCH(ROUNDUP((L$1)/10,0)*10,[1]Hugst!$R$4:$W$4,0))))</f>
        <v>0</v>
      </c>
      <c r="M226" s="168">
        <f ca="1">IF($C226-M$1&lt;År1,0,L225*(1-VLOOKUP($A226,[1]Hugst!$R$5:$W$9,MATCH(ROUNDUP((M$1)/10,0)*10,[1]Hugst!$R$4:$W$4,0))))</f>
        <v>0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*VLOOKUP(A227,Skovbrug!$A$13:$D$17,IF('Skovbrug-alder'!C227&lt;=År2,3,4),FALSE)-IF(C227&gt;2020,SUM(INDEX($C$1:$D$311,MATCH(1,(2020=$C$1:$C$311)*(B227=$B$1:$B$311)*(A227=$A$1:$A$311),0),2):D226),0))</f>
        <v>0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8">
        <f ca="1">IF($C227-G$1&lt;År1,0,F226*(1-VLOOKUP($A227,[1]Hugst!$R$5:$W$9,MATCH(ROUNDUP((G$1)/10,0)*10,[1]Hugst!$R$4:$W$4,0))))</f>
        <v>0</v>
      </c>
      <c r="H227" s="168">
        <f ca="1">IF($C227-H$1&lt;År1,0,G226*(1-VLOOKUP($A227,[1]Hugst!$R$5:$W$9,MATCH(ROUNDUP((H$1)/10,0)*10,[1]Hugst!$R$4:$W$4,0))))</f>
        <v>0</v>
      </c>
      <c r="I227" s="168">
        <f ca="1">IF($C227-I$1&lt;År1,0,H226*(1-VLOOKUP($A227,[1]Hugst!$R$5:$W$9,MATCH(ROUNDUP((I$1)/10,0)*10,[1]Hugst!$R$4:$W$4,0))))</f>
        <v>0</v>
      </c>
      <c r="J227" s="168">
        <f ca="1">IF($C227-J$1&lt;År1,0,I226*(1-VLOOKUP($A227,[1]Hugst!$R$5:$W$9,MATCH(ROUNDUP((J$1)/10,0)*10,[1]Hugst!$R$4:$W$4,0))))</f>
        <v>0</v>
      </c>
      <c r="K227" s="168">
        <f ca="1">IF($C227-K$1&lt;År1,0,J226*(1-VLOOKUP($A227,[1]Hugst!$R$5:$W$9,MATCH(ROUNDUP((K$1)/10,0)*10,[1]Hugst!$R$4:$W$4,0))))</f>
        <v>0</v>
      </c>
      <c r="L227" s="168">
        <f ca="1">IF($C227-L$1&lt;År1,0,K226*(1-VLOOKUP($A227,[1]Hugst!$R$5:$W$9,MATCH(ROUNDUP((L$1)/10,0)*10,[1]Hugst!$R$4:$W$4,0))))</f>
        <v>0</v>
      </c>
      <c r="M227" s="168">
        <f ca="1">IF($C227-M$1&lt;År1,0,L226*(1-VLOOKUP($A227,[1]Hugst!$R$5:$W$9,MATCH(ROUNDUP((M$1)/10,0)*10,[1]Hugst!$R$4:$W$4,0))))</f>
        <v>0</v>
      </c>
      <c r="N227" s="168">
        <f ca="1">IF($C227-N$1&lt;År1,0,M226*(1-VLOOKUP($A227,[1]Hugst!$R$5:$W$9,MATCH(ROUNDUP((N$1)/10,0)*10,[1]Hugst!$R$4:$W$4,0))))</f>
        <v>0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*VLOOKUP(A228,Skovbrug!$A$13:$D$17,IF('Skovbrug-alder'!C228&lt;=År2,3,4),FALSE)-IF(C228&gt;2020,SUM(INDEX($C$1:$D$311,MATCH(1,(2020=$C$1:$C$311)*(B228=$B$1:$B$311)*(A228=$A$1:$A$311),0),2):D227),0))</f>
        <v>0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8">
        <f ca="1">IF($C228-G$1&lt;År1,0,F227*(1-VLOOKUP($A228,[1]Hugst!$R$5:$W$9,MATCH(ROUNDUP((G$1)/10,0)*10,[1]Hugst!$R$4:$W$4,0))))</f>
        <v>0</v>
      </c>
      <c r="H228" s="168">
        <f ca="1">IF($C228-H$1&lt;År1,0,G227*(1-VLOOKUP($A228,[1]Hugst!$R$5:$W$9,MATCH(ROUNDUP((H$1)/10,0)*10,[1]Hugst!$R$4:$W$4,0))))</f>
        <v>0</v>
      </c>
      <c r="I228" s="168">
        <f ca="1">IF($C228-I$1&lt;År1,0,H227*(1-VLOOKUP($A228,[1]Hugst!$R$5:$W$9,MATCH(ROUNDUP((I$1)/10,0)*10,[1]Hugst!$R$4:$W$4,0))))</f>
        <v>0</v>
      </c>
      <c r="J228" s="168">
        <f ca="1">IF($C228-J$1&lt;År1,0,I227*(1-VLOOKUP($A228,[1]Hugst!$R$5:$W$9,MATCH(ROUNDUP((J$1)/10,0)*10,[1]Hugst!$R$4:$W$4,0))))</f>
        <v>0</v>
      </c>
      <c r="K228" s="168">
        <f ca="1">IF($C228-K$1&lt;År1,0,J227*(1-VLOOKUP($A228,[1]Hugst!$R$5:$W$9,MATCH(ROUNDUP((K$1)/10,0)*10,[1]Hugst!$R$4:$W$4,0))))</f>
        <v>0</v>
      </c>
      <c r="L228" s="168">
        <f ca="1">IF($C228-L$1&lt;År1,0,K227*(1-VLOOKUP($A228,[1]Hugst!$R$5:$W$9,MATCH(ROUNDUP((L$1)/10,0)*10,[1]Hugst!$R$4:$W$4,0))))</f>
        <v>0</v>
      </c>
      <c r="M228" s="168">
        <f ca="1">IF($C228-M$1&lt;År1,0,L227*(1-VLOOKUP($A228,[1]Hugst!$R$5:$W$9,MATCH(ROUNDUP((M$1)/10,0)*10,[1]Hugst!$R$4:$W$4,0))))</f>
        <v>0</v>
      </c>
      <c r="N228" s="168">
        <f ca="1">IF($C228-N$1&lt;År1,0,M227*(1-VLOOKUP($A228,[1]Hugst!$R$5:$W$9,MATCH(ROUNDUP((N$1)/10,0)*10,[1]Hugst!$R$4:$W$4,0))))</f>
        <v>0</v>
      </c>
      <c r="O228" s="168">
        <f ca="1">IF($C228-O$1&lt;År1,0,N227*(1-VLOOKUP($A228,[1]Hugst!$R$5:$W$9,MATCH(ROUNDUP((O$1)/10,0)*10,[1]Hugst!$R$4:$W$4,0))))</f>
        <v>0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*VLOOKUP(A229,Skovbrug!$A$13:$D$17,IF('Skovbrug-alder'!C229&lt;=År2,3,4),FALSE)-IF(C229&gt;2020,SUM(INDEX($C$1:$D$311,MATCH(1,(2020=$C$1:$C$311)*(B229=$B$1:$B$311)*(A229=$A$1:$A$311),0),2):D228),0))</f>
        <v>0</v>
      </c>
      <c r="E229" s="168">
        <f t="shared" ca="1" si="5"/>
        <v>0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8">
        <f ca="1">IF($C229-G$1&lt;År1,0,F228*(1-VLOOKUP($A229,[1]Hugst!$R$5:$W$9,MATCH(ROUNDUP((G$1)/10,0)*10,[1]Hugst!$R$4:$W$4,0))))</f>
        <v>0</v>
      </c>
      <c r="H229" s="168">
        <f ca="1">IF($C229-H$1&lt;År1,0,G228*(1-VLOOKUP($A229,[1]Hugst!$R$5:$W$9,MATCH(ROUNDUP((H$1)/10,0)*10,[1]Hugst!$R$4:$W$4,0))))</f>
        <v>0</v>
      </c>
      <c r="I229" s="168">
        <f ca="1">IF($C229-I$1&lt;År1,0,H228*(1-VLOOKUP($A229,[1]Hugst!$R$5:$W$9,MATCH(ROUNDUP((I$1)/10,0)*10,[1]Hugst!$R$4:$W$4,0))))</f>
        <v>0</v>
      </c>
      <c r="J229" s="168">
        <f ca="1">IF($C229-J$1&lt;År1,0,I228*(1-VLOOKUP($A229,[1]Hugst!$R$5:$W$9,MATCH(ROUNDUP((J$1)/10,0)*10,[1]Hugst!$R$4:$W$4,0))))</f>
        <v>0</v>
      </c>
      <c r="K229" s="168">
        <f ca="1">IF($C229-K$1&lt;År1,0,J228*(1-VLOOKUP($A229,[1]Hugst!$R$5:$W$9,MATCH(ROUNDUP((K$1)/10,0)*10,[1]Hugst!$R$4:$W$4,0))))</f>
        <v>0</v>
      </c>
      <c r="L229" s="168">
        <f ca="1">IF($C229-L$1&lt;År1,0,K228*(1-VLOOKUP($A229,[1]Hugst!$R$5:$W$9,MATCH(ROUNDUP((L$1)/10,0)*10,[1]Hugst!$R$4:$W$4,0))))</f>
        <v>0</v>
      </c>
      <c r="M229" s="168">
        <f ca="1">IF($C229-M$1&lt;År1,0,L228*(1-VLOOKUP($A229,[1]Hugst!$R$5:$W$9,MATCH(ROUNDUP((M$1)/10,0)*10,[1]Hugst!$R$4:$W$4,0))))</f>
        <v>0</v>
      </c>
      <c r="N229" s="168">
        <f ca="1">IF($C229-N$1&lt;År1,0,M228*(1-VLOOKUP($A229,[1]Hugst!$R$5:$W$9,MATCH(ROUNDUP((N$1)/10,0)*10,[1]Hugst!$R$4:$W$4,0))))</f>
        <v>0</v>
      </c>
      <c r="O229" s="168">
        <f ca="1">IF($C229-O$1&lt;År1,0,N228*(1-VLOOKUP($A229,[1]Hugst!$R$5:$W$9,MATCH(ROUNDUP((O$1)/10,0)*10,[1]Hugst!$R$4:$W$4,0))))</f>
        <v>0</v>
      </c>
      <c r="P229" s="168">
        <f ca="1">IF($C229-P$1&lt;År1,0,O228*(1-VLOOKUP($A229,[1]Hugst!$R$5:$W$9,MATCH(ROUNDUP((P$1)/10,0)*10,[1]Hugst!$R$4:$W$4,0))))</f>
        <v>0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*VLOOKUP(A230,Skovbrug!$A$13:$D$17,IF('Skovbrug-alder'!C230&lt;=År2,3,4),FALSE)-IF(C230&gt;2020,SUM(INDEX($C$1:$D$311,MATCH(1,(2020=$C$1:$C$311)*(B230=$B$1:$B$311)*(A230=$A$1:$A$311),0),2):D229),0))</f>
        <v>0</v>
      </c>
      <c r="E230" s="168">
        <f t="shared" ca="1" si="5"/>
        <v>0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8">
        <f ca="1">IF($C230-G$1&lt;År1,0,F229*(1-VLOOKUP($A230,[1]Hugst!$R$5:$W$9,MATCH(ROUNDUP((G$1)/10,0)*10,[1]Hugst!$R$4:$W$4,0))))</f>
        <v>0</v>
      </c>
      <c r="H230" s="168">
        <f ca="1">IF($C230-H$1&lt;År1,0,G229*(1-VLOOKUP($A230,[1]Hugst!$R$5:$W$9,MATCH(ROUNDUP((H$1)/10,0)*10,[1]Hugst!$R$4:$W$4,0))))</f>
        <v>0</v>
      </c>
      <c r="I230" s="168">
        <f ca="1">IF($C230-I$1&lt;År1,0,H229*(1-VLOOKUP($A230,[1]Hugst!$R$5:$W$9,MATCH(ROUNDUP((I$1)/10,0)*10,[1]Hugst!$R$4:$W$4,0))))</f>
        <v>0</v>
      </c>
      <c r="J230" s="168">
        <f ca="1">IF($C230-J$1&lt;År1,0,I229*(1-VLOOKUP($A230,[1]Hugst!$R$5:$W$9,MATCH(ROUNDUP((J$1)/10,0)*10,[1]Hugst!$R$4:$W$4,0))))</f>
        <v>0</v>
      </c>
      <c r="K230" s="168">
        <f ca="1">IF($C230-K$1&lt;År1,0,J229*(1-VLOOKUP($A230,[1]Hugst!$R$5:$W$9,MATCH(ROUNDUP((K$1)/10,0)*10,[1]Hugst!$R$4:$W$4,0))))</f>
        <v>0</v>
      </c>
      <c r="L230" s="168">
        <f ca="1">IF($C230-L$1&lt;År1,0,K229*(1-VLOOKUP($A230,[1]Hugst!$R$5:$W$9,MATCH(ROUNDUP((L$1)/10,0)*10,[1]Hugst!$R$4:$W$4,0))))</f>
        <v>0</v>
      </c>
      <c r="M230" s="168">
        <f ca="1">IF($C230-M$1&lt;År1,0,L229*(1-VLOOKUP($A230,[1]Hugst!$R$5:$W$9,MATCH(ROUNDUP((M$1)/10,0)*10,[1]Hugst!$R$4:$W$4,0))))</f>
        <v>0</v>
      </c>
      <c r="N230" s="168">
        <f ca="1">IF($C230-N$1&lt;År1,0,M229*(1-VLOOKUP($A230,[1]Hugst!$R$5:$W$9,MATCH(ROUNDUP((N$1)/10,0)*10,[1]Hugst!$R$4:$W$4,0))))</f>
        <v>0</v>
      </c>
      <c r="O230" s="168">
        <f ca="1">IF($C230-O$1&lt;År1,0,N229*(1-VLOOKUP($A230,[1]Hugst!$R$5:$W$9,MATCH(ROUNDUP((O$1)/10,0)*10,[1]Hugst!$R$4:$W$4,0))))</f>
        <v>0</v>
      </c>
      <c r="P230" s="168">
        <f ca="1">IF($C230-P$1&lt;År1,0,O229*(1-VLOOKUP($A230,[1]Hugst!$R$5:$W$9,MATCH(ROUNDUP((P$1)/10,0)*10,[1]Hugst!$R$4:$W$4,0))))</f>
        <v>0</v>
      </c>
      <c r="Q230" s="168">
        <f ca="1">IF($C230-Q$1&lt;År1,0,P229*(1-VLOOKUP($A230,[1]Hugst!$R$5:$W$9,MATCH(ROUNDUP((Q$1)/10,0)*10,[1]Hugst!$R$4:$W$4,0))))</f>
        <v>0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*VLOOKUP(A231,Skovbrug!$A$13:$D$17,IF('Skovbrug-alder'!C231&lt;=År2,3,4),FALSE)-IF(C231&gt;2020,SUM(INDEX($C$1:$D$311,MATCH(1,(2020=$C$1:$C$311)*(B231=$B$1:$B$311)*(A231=$A$1:$A$311),0),2):D230),0))</f>
        <v>0</v>
      </c>
      <c r="E231" s="168">
        <f t="shared" ca="1" si="5"/>
        <v>0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8">
        <f ca="1">IF($C231-G$1&lt;År1,0,F230*(1-VLOOKUP($A231,[1]Hugst!$R$5:$W$9,MATCH(ROUNDUP((G$1)/10,0)*10,[1]Hugst!$R$4:$W$4,0))))</f>
        <v>0</v>
      </c>
      <c r="H231" s="168">
        <f ca="1">IF($C231-H$1&lt;År1,0,G230*(1-VLOOKUP($A231,[1]Hugst!$R$5:$W$9,MATCH(ROUNDUP((H$1)/10,0)*10,[1]Hugst!$R$4:$W$4,0))))</f>
        <v>0</v>
      </c>
      <c r="I231" s="168">
        <f ca="1">IF($C231-I$1&lt;År1,0,H230*(1-VLOOKUP($A231,[1]Hugst!$R$5:$W$9,MATCH(ROUNDUP((I$1)/10,0)*10,[1]Hugst!$R$4:$W$4,0))))</f>
        <v>0</v>
      </c>
      <c r="J231" s="168">
        <f ca="1">IF($C231-J$1&lt;År1,0,I230*(1-VLOOKUP($A231,[1]Hugst!$R$5:$W$9,MATCH(ROUNDUP((J$1)/10,0)*10,[1]Hugst!$R$4:$W$4,0))))</f>
        <v>0</v>
      </c>
      <c r="K231" s="168">
        <f ca="1">IF($C231-K$1&lt;År1,0,J230*(1-VLOOKUP($A231,[1]Hugst!$R$5:$W$9,MATCH(ROUNDUP((K$1)/10,0)*10,[1]Hugst!$R$4:$W$4,0))))</f>
        <v>0</v>
      </c>
      <c r="L231" s="168">
        <f ca="1">IF($C231-L$1&lt;År1,0,K230*(1-VLOOKUP($A231,[1]Hugst!$R$5:$W$9,MATCH(ROUNDUP((L$1)/10,0)*10,[1]Hugst!$R$4:$W$4,0))))</f>
        <v>0</v>
      </c>
      <c r="M231" s="168">
        <f ca="1">IF($C231-M$1&lt;År1,0,L230*(1-VLOOKUP($A231,[1]Hugst!$R$5:$W$9,MATCH(ROUNDUP((M$1)/10,0)*10,[1]Hugst!$R$4:$W$4,0))))</f>
        <v>0</v>
      </c>
      <c r="N231" s="168">
        <f ca="1">IF($C231-N$1&lt;År1,0,M230*(1-VLOOKUP($A231,[1]Hugst!$R$5:$W$9,MATCH(ROUNDUP((N$1)/10,0)*10,[1]Hugst!$R$4:$W$4,0))))</f>
        <v>0</v>
      </c>
      <c r="O231" s="168">
        <f ca="1">IF($C231-O$1&lt;År1,0,N230*(1-VLOOKUP($A231,[1]Hugst!$R$5:$W$9,MATCH(ROUNDUP((O$1)/10,0)*10,[1]Hugst!$R$4:$W$4,0))))</f>
        <v>0</v>
      </c>
      <c r="P231" s="168">
        <f ca="1">IF($C231-P$1&lt;År1,0,O230*(1-VLOOKUP($A231,[1]Hugst!$R$5:$W$9,MATCH(ROUNDUP((P$1)/10,0)*10,[1]Hugst!$R$4:$W$4,0))))</f>
        <v>0</v>
      </c>
      <c r="Q231" s="168">
        <f ca="1">IF($C231-Q$1&lt;År1,0,P230*(1-VLOOKUP($A231,[1]Hugst!$R$5:$W$9,MATCH(ROUNDUP((Q$1)/10,0)*10,[1]Hugst!$R$4:$W$4,0))))</f>
        <v>0</v>
      </c>
      <c r="R231" s="168">
        <f ca="1">IF($C231-R$1&lt;År1,0,Q230*(1-VLOOKUP($A231,[1]Hugst!$R$5:$W$9,MATCH(ROUNDUP((R$1)/10,0)*10,[1]Hugst!$R$4:$W$4,0))))</f>
        <v>0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*VLOOKUP(A232,Skovbrug!$A$13:$D$17,IF('Skovbrug-alder'!C232&lt;=År2,3,4),FALSE)-IF(C232&gt;2020,SUM(INDEX($C$1:$D$311,MATCH(1,(2020=$C$1:$C$311)*(B232=$B$1:$B$311)*(A232=$A$1:$A$311),0),2):D231),0))</f>
        <v>0</v>
      </c>
      <c r="E232" s="168">
        <f t="shared" ca="1" si="5"/>
        <v>0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8">
        <f ca="1">IF($C232-G$1&lt;År1,0,F231*(1-VLOOKUP($A232,[1]Hugst!$R$5:$W$9,MATCH(ROUNDUP((G$1)/10,0)*10,[1]Hugst!$R$4:$W$4,0))))</f>
        <v>0</v>
      </c>
      <c r="H232" s="168">
        <f ca="1">IF($C232-H$1&lt;År1,0,G231*(1-VLOOKUP($A232,[1]Hugst!$R$5:$W$9,MATCH(ROUNDUP((H$1)/10,0)*10,[1]Hugst!$R$4:$W$4,0))))</f>
        <v>0</v>
      </c>
      <c r="I232" s="168">
        <f ca="1">IF($C232-I$1&lt;År1,0,H231*(1-VLOOKUP($A232,[1]Hugst!$R$5:$W$9,MATCH(ROUNDUP((I$1)/10,0)*10,[1]Hugst!$R$4:$W$4,0))))</f>
        <v>0</v>
      </c>
      <c r="J232" s="168">
        <f ca="1">IF($C232-J$1&lt;År1,0,I231*(1-VLOOKUP($A232,[1]Hugst!$R$5:$W$9,MATCH(ROUNDUP((J$1)/10,0)*10,[1]Hugst!$R$4:$W$4,0))))</f>
        <v>0</v>
      </c>
      <c r="K232" s="168">
        <f ca="1">IF($C232-K$1&lt;År1,0,J231*(1-VLOOKUP($A232,[1]Hugst!$R$5:$W$9,MATCH(ROUNDUP((K$1)/10,0)*10,[1]Hugst!$R$4:$W$4,0))))</f>
        <v>0</v>
      </c>
      <c r="L232" s="168">
        <f ca="1">IF($C232-L$1&lt;År1,0,K231*(1-VLOOKUP($A232,[1]Hugst!$R$5:$W$9,MATCH(ROUNDUP((L$1)/10,0)*10,[1]Hugst!$R$4:$W$4,0))))</f>
        <v>0</v>
      </c>
      <c r="M232" s="168">
        <f ca="1">IF($C232-M$1&lt;År1,0,L231*(1-VLOOKUP($A232,[1]Hugst!$R$5:$W$9,MATCH(ROUNDUP((M$1)/10,0)*10,[1]Hugst!$R$4:$W$4,0))))</f>
        <v>0</v>
      </c>
      <c r="N232" s="168">
        <f ca="1">IF($C232-N$1&lt;År1,0,M231*(1-VLOOKUP($A232,[1]Hugst!$R$5:$W$9,MATCH(ROUNDUP((N$1)/10,0)*10,[1]Hugst!$R$4:$W$4,0))))</f>
        <v>0</v>
      </c>
      <c r="O232" s="168">
        <f ca="1">IF($C232-O$1&lt;År1,0,N231*(1-VLOOKUP($A232,[1]Hugst!$R$5:$W$9,MATCH(ROUNDUP((O$1)/10,0)*10,[1]Hugst!$R$4:$W$4,0))))</f>
        <v>0</v>
      </c>
      <c r="P232" s="168">
        <f ca="1">IF($C232-P$1&lt;År1,0,O231*(1-VLOOKUP($A232,[1]Hugst!$R$5:$W$9,MATCH(ROUNDUP((P$1)/10,0)*10,[1]Hugst!$R$4:$W$4,0))))</f>
        <v>0</v>
      </c>
      <c r="Q232" s="168">
        <f ca="1">IF($C232-Q$1&lt;År1,0,P231*(1-VLOOKUP($A232,[1]Hugst!$R$5:$W$9,MATCH(ROUNDUP((Q$1)/10,0)*10,[1]Hugst!$R$4:$W$4,0))))</f>
        <v>0</v>
      </c>
      <c r="R232" s="168">
        <f ca="1">IF($C232-R$1&lt;År1,0,Q231*(1-VLOOKUP($A232,[1]Hugst!$R$5:$W$9,MATCH(ROUNDUP((R$1)/10,0)*10,[1]Hugst!$R$4:$W$4,0))))</f>
        <v>0</v>
      </c>
      <c r="S232" s="168">
        <f ca="1">IF($C232-S$1&lt;År1,0,R231*(1-VLOOKUP($A232,[1]Hugst!$R$5:$W$9,MATCH(ROUNDUP((S$1)/10,0)*10,[1]Hugst!$R$4:$W$4,0))))</f>
        <v>0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*VLOOKUP(A233,Skovbrug!$A$13:$D$17,IF('Skovbrug-alder'!C233&lt;=År2,3,4),FALSE)-IF(C233&gt;2020,SUM(INDEX($C$1:$D$311,MATCH(1,(2020=$C$1:$C$311)*(B233=$B$1:$B$311)*(A233=$A$1:$A$311),0),2):D232),0))</f>
        <v>0</v>
      </c>
      <c r="E233" s="168">
        <f t="shared" ca="1" si="5"/>
        <v>0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8">
        <f ca="1">IF($C233-G$1&lt;År1,0,F232*(1-VLOOKUP($A233,[1]Hugst!$R$5:$W$9,MATCH(ROUNDUP((G$1)/10,0)*10,[1]Hugst!$R$4:$W$4,0))))</f>
        <v>0</v>
      </c>
      <c r="H233" s="168">
        <f ca="1">IF($C233-H$1&lt;År1,0,G232*(1-VLOOKUP($A233,[1]Hugst!$R$5:$W$9,MATCH(ROUNDUP((H$1)/10,0)*10,[1]Hugst!$R$4:$W$4,0))))</f>
        <v>0</v>
      </c>
      <c r="I233" s="168">
        <f ca="1">IF($C233-I$1&lt;År1,0,H232*(1-VLOOKUP($A233,[1]Hugst!$R$5:$W$9,MATCH(ROUNDUP((I$1)/10,0)*10,[1]Hugst!$R$4:$W$4,0))))</f>
        <v>0</v>
      </c>
      <c r="J233" s="168">
        <f ca="1">IF($C233-J$1&lt;År1,0,I232*(1-VLOOKUP($A233,[1]Hugst!$R$5:$W$9,MATCH(ROUNDUP((J$1)/10,0)*10,[1]Hugst!$R$4:$W$4,0))))</f>
        <v>0</v>
      </c>
      <c r="K233" s="168">
        <f ca="1">IF($C233-K$1&lt;År1,0,J232*(1-VLOOKUP($A233,[1]Hugst!$R$5:$W$9,MATCH(ROUNDUP((K$1)/10,0)*10,[1]Hugst!$R$4:$W$4,0))))</f>
        <v>0</v>
      </c>
      <c r="L233" s="168">
        <f ca="1">IF($C233-L$1&lt;År1,0,K232*(1-VLOOKUP($A233,[1]Hugst!$R$5:$W$9,MATCH(ROUNDUP((L$1)/10,0)*10,[1]Hugst!$R$4:$W$4,0))))</f>
        <v>0</v>
      </c>
      <c r="M233" s="168">
        <f ca="1">IF($C233-M$1&lt;År1,0,L232*(1-VLOOKUP($A233,[1]Hugst!$R$5:$W$9,MATCH(ROUNDUP((M$1)/10,0)*10,[1]Hugst!$R$4:$W$4,0))))</f>
        <v>0</v>
      </c>
      <c r="N233" s="168">
        <f ca="1">IF($C233-N$1&lt;År1,0,M232*(1-VLOOKUP($A233,[1]Hugst!$R$5:$W$9,MATCH(ROUNDUP((N$1)/10,0)*10,[1]Hugst!$R$4:$W$4,0))))</f>
        <v>0</v>
      </c>
      <c r="O233" s="168">
        <f ca="1">IF($C233-O$1&lt;År1,0,N232*(1-VLOOKUP($A233,[1]Hugst!$R$5:$W$9,MATCH(ROUNDUP((O$1)/10,0)*10,[1]Hugst!$R$4:$W$4,0))))</f>
        <v>0</v>
      </c>
      <c r="P233" s="168">
        <f ca="1">IF($C233-P$1&lt;År1,0,O232*(1-VLOOKUP($A233,[1]Hugst!$R$5:$W$9,MATCH(ROUNDUP((P$1)/10,0)*10,[1]Hugst!$R$4:$W$4,0))))</f>
        <v>0</v>
      </c>
      <c r="Q233" s="168">
        <f ca="1">IF($C233-Q$1&lt;År1,0,P232*(1-VLOOKUP($A233,[1]Hugst!$R$5:$W$9,MATCH(ROUNDUP((Q$1)/10,0)*10,[1]Hugst!$R$4:$W$4,0))))</f>
        <v>0</v>
      </c>
      <c r="R233" s="168">
        <f ca="1">IF($C233-R$1&lt;År1,0,Q232*(1-VLOOKUP($A233,[1]Hugst!$R$5:$W$9,MATCH(ROUNDUP((R$1)/10,0)*10,[1]Hugst!$R$4:$W$4,0))))</f>
        <v>0</v>
      </c>
      <c r="S233" s="168">
        <f ca="1">IF($C233-S$1&lt;År1,0,R232*(1-VLOOKUP($A233,[1]Hugst!$R$5:$W$9,MATCH(ROUNDUP((S$1)/10,0)*10,[1]Hugst!$R$4:$W$4,0))))</f>
        <v>0</v>
      </c>
      <c r="T233" s="168">
        <f ca="1">IF($C233-T$1&lt;År1,0,S232*(1-VLOOKUP($A233,[1]Hugst!$R$5:$W$9,MATCH(ROUNDUP((T$1)/10,0)*10,[1]Hugst!$R$4:$W$4,0))))</f>
        <v>0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*VLOOKUP(A234,Skovbrug!$A$13:$D$17,IF('Skovbrug-alder'!C234&lt;=År2,3,4),FALSE)-IF(C234&gt;2020,SUM(INDEX($C$1:$D$311,MATCH(1,(2020=$C$1:$C$311)*(B234=$B$1:$B$311)*(A234=$A$1:$A$311),0),2):D233),0))</f>
        <v>0</v>
      </c>
      <c r="E234" s="168">
        <f t="shared" ca="1" si="5"/>
        <v>0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8">
        <f ca="1">IF($C234-G$1&lt;År1,0,F233*(1-VLOOKUP($A234,[1]Hugst!$R$5:$W$9,MATCH(ROUNDUP((G$1)/10,0)*10,[1]Hugst!$R$4:$W$4,0))))</f>
        <v>0</v>
      </c>
      <c r="H234" s="168">
        <f ca="1">IF($C234-H$1&lt;År1,0,G233*(1-VLOOKUP($A234,[1]Hugst!$R$5:$W$9,MATCH(ROUNDUP((H$1)/10,0)*10,[1]Hugst!$R$4:$W$4,0))))</f>
        <v>0</v>
      </c>
      <c r="I234" s="168">
        <f ca="1">IF($C234-I$1&lt;År1,0,H233*(1-VLOOKUP($A234,[1]Hugst!$R$5:$W$9,MATCH(ROUNDUP((I$1)/10,0)*10,[1]Hugst!$R$4:$W$4,0))))</f>
        <v>0</v>
      </c>
      <c r="J234" s="168">
        <f ca="1">IF($C234-J$1&lt;År1,0,I233*(1-VLOOKUP($A234,[1]Hugst!$R$5:$W$9,MATCH(ROUNDUP((J$1)/10,0)*10,[1]Hugst!$R$4:$W$4,0))))</f>
        <v>0</v>
      </c>
      <c r="K234" s="168">
        <f ca="1">IF($C234-K$1&lt;År1,0,J233*(1-VLOOKUP($A234,[1]Hugst!$R$5:$W$9,MATCH(ROUNDUP((K$1)/10,0)*10,[1]Hugst!$R$4:$W$4,0))))</f>
        <v>0</v>
      </c>
      <c r="L234" s="168">
        <f ca="1">IF($C234-L$1&lt;År1,0,K233*(1-VLOOKUP($A234,[1]Hugst!$R$5:$W$9,MATCH(ROUNDUP((L$1)/10,0)*10,[1]Hugst!$R$4:$W$4,0))))</f>
        <v>0</v>
      </c>
      <c r="M234" s="168">
        <f ca="1">IF($C234-M$1&lt;År1,0,L233*(1-VLOOKUP($A234,[1]Hugst!$R$5:$W$9,MATCH(ROUNDUP((M$1)/10,0)*10,[1]Hugst!$R$4:$W$4,0))))</f>
        <v>0</v>
      </c>
      <c r="N234" s="168">
        <f ca="1">IF($C234-N$1&lt;År1,0,M233*(1-VLOOKUP($A234,[1]Hugst!$R$5:$W$9,MATCH(ROUNDUP((N$1)/10,0)*10,[1]Hugst!$R$4:$W$4,0))))</f>
        <v>0</v>
      </c>
      <c r="O234" s="168">
        <f ca="1">IF($C234-O$1&lt;År1,0,N233*(1-VLOOKUP($A234,[1]Hugst!$R$5:$W$9,MATCH(ROUNDUP((O$1)/10,0)*10,[1]Hugst!$R$4:$W$4,0))))</f>
        <v>0</v>
      </c>
      <c r="P234" s="168">
        <f ca="1">IF($C234-P$1&lt;År1,0,O233*(1-VLOOKUP($A234,[1]Hugst!$R$5:$W$9,MATCH(ROUNDUP((P$1)/10,0)*10,[1]Hugst!$R$4:$W$4,0))))</f>
        <v>0</v>
      </c>
      <c r="Q234" s="168">
        <f ca="1">IF($C234-Q$1&lt;År1,0,P233*(1-VLOOKUP($A234,[1]Hugst!$R$5:$W$9,MATCH(ROUNDUP((Q$1)/10,0)*10,[1]Hugst!$R$4:$W$4,0))))</f>
        <v>0</v>
      </c>
      <c r="R234" s="168">
        <f ca="1">IF($C234-R$1&lt;År1,0,Q233*(1-VLOOKUP($A234,[1]Hugst!$R$5:$W$9,MATCH(ROUNDUP((R$1)/10,0)*10,[1]Hugst!$R$4:$W$4,0))))</f>
        <v>0</v>
      </c>
      <c r="S234" s="168">
        <f ca="1">IF($C234-S$1&lt;År1,0,R233*(1-VLOOKUP($A234,[1]Hugst!$R$5:$W$9,MATCH(ROUNDUP((S$1)/10,0)*10,[1]Hugst!$R$4:$W$4,0))))</f>
        <v>0</v>
      </c>
      <c r="T234" s="168">
        <f ca="1">IF($C234-T$1&lt;År1,0,S233*(1-VLOOKUP($A234,[1]Hugst!$R$5:$W$9,MATCH(ROUNDUP((T$1)/10,0)*10,[1]Hugst!$R$4:$W$4,0))))</f>
        <v>0</v>
      </c>
      <c r="U234" s="168">
        <f ca="1">IF($C234-U$1&lt;År1,0,T233*(1-VLOOKUP($A234,[1]Hugst!$R$5:$W$9,MATCH(ROUNDUP((U$1)/10,0)*10,[1]Hugst!$R$4:$W$4,0))))</f>
        <v>0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*VLOOKUP(A235,Skovbrug!$A$13:$D$17,IF('Skovbrug-alder'!C235&lt;=År2,3,4),FALSE)-IF(C235&gt;2020,SUM(INDEX($C$1:$D$311,MATCH(1,(2020=$C$1:$C$311)*(B235=$B$1:$B$311)*(A235=$A$1:$A$311),0),2):D234),0))</f>
        <v>0</v>
      </c>
      <c r="E235" s="168">
        <f t="shared" ca="1" si="5"/>
        <v>0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8">
        <f ca="1">IF($C235-G$1&lt;År1,0,F234*(1-VLOOKUP($A235,[1]Hugst!$R$5:$W$9,MATCH(ROUNDUP((G$1)/10,0)*10,[1]Hugst!$R$4:$W$4,0))))</f>
        <v>0</v>
      </c>
      <c r="H235" s="168">
        <f ca="1">IF($C235-H$1&lt;År1,0,G234*(1-VLOOKUP($A235,[1]Hugst!$R$5:$W$9,MATCH(ROUNDUP((H$1)/10,0)*10,[1]Hugst!$R$4:$W$4,0))))</f>
        <v>0</v>
      </c>
      <c r="I235" s="168">
        <f ca="1">IF($C235-I$1&lt;År1,0,H234*(1-VLOOKUP($A235,[1]Hugst!$R$5:$W$9,MATCH(ROUNDUP((I$1)/10,0)*10,[1]Hugst!$R$4:$W$4,0))))</f>
        <v>0</v>
      </c>
      <c r="J235" s="168">
        <f ca="1">IF($C235-J$1&lt;År1,0,I234*(1-VLOOKUP($A235,[1]Hugst!$R$5:$W$9,MATCH(ROUNDUP((J$1)/10,0)*10,[1]Hugst!$R$4:$W$4,0))))</f>
        <v>0</v>
      </c>
      <c r="K235" s="168">
        <f ca="1">IF($C235-K$1&lt;År1,0,J234*(1-VLOOKUP($A235,[1]Hugst!$R$5:$W$9,MATCH(ROUNDUP((K$1)/10,0)*10,[1]Hugst!$R$4:$W$4,0))))</f>
        <v>0</v>
      </c>
      <c r="L235" s="168">
        <f ca="1">IF($C235-L$1&lt;År1,0,K234*(1-VLOOKUP($A235,[1]Hugst!$R$5:$W$9,MATCH(ROUNDUP((L$1)/10,0)*10,[1]Hugst!$R$4:$W$4,0))))</f>
        <v>0</v>
      </c>
      <c r="M235" s="168">
        <f ca="1">IF($C235-M$1&lt;År1,0,L234*(1-VLOOKUP($A235,[1]Hugst!$R$5:$W$9,MATCH(ROUNDUP((M$1)/10,0)*10,[1]Hugst!$R$4:$W$4,0))))</f>
        <v>0</v>
      </c>
      <c r="N235" s="168">
        <f ca="1">IF($C235-N$1&lt;År1,0,M234*(1-VLOOKUP($A235,[1]Hugst!$R$5:$W$9,MATCH(ROUNDUP((N$1)/10,0)*10,[1]Hugst!$R$4:$W$4,0))))</f>
        <v>0</v>
      </c>
      <c r="O235" s="168">
        <f ca="1">IF($C235-O$1&lt;År1,0,N234*(1-VLOOKUP($A235,[1]Hugst!$R$5:$W$9,MATCH(ROUNDUP((O$1)/10,0)*10,[1]Hugst!$R$4:$W$4,0))))</f>
        <v>0</v>
      </c>
      <c r="P235" s="168">
        <f ca="1">IF($C235-P$1&lt;År1,0,O234*(1-VLOOKUP($A235,[1]Hugst!$R$5:$W$9,MATCH(ROUNDUP((P$1)/10,0)*10,[1]Hugst!$R$4:$W$4,0))))</f>
        <v>0</v>
      </c>
      <c r="Q235" s="168">
        <f ca="1">IF($C235-Q$1&lt;År1,0,P234*(1-VLOOKUP($A235,[1]Hugst!$R$5:$W$9,MATCH(ROUNDUP((Q$1)/10,0)*10,[1]Hugst!$R$4:$W$4,0))))</f>
        <v>0</v>
      </c>
      <c r="R235" s="168">
        <f ca="1">IF($C235-R$1&lt;År1,0,Q234*(1-VLOOKUP($A235,[1]Hugst!$R$5:$W$9,MATCH(ROUNDUP((R$1)/10,0)*10,[1]Hugst!$R$4:$W$4,0))))</f>
        <v>0</v>
      </c>
      <c r="S235" s="168">
        <f ca="1">IF($C235-S$1&lt;År1,0,R234*(1-VLOOKUP($A235,[1]Hugst!$R$5:$W$9,MATCH(ROUNDUP((S$1)/10,0)*10,[1]Hugst!$R$4:$W$4,0))))</f>
        <v>0</v>
      </c>
      <c r="T235" s="168">
        <f ca="1">IF($C235-T$1&lt;År1,0,S234*(1-VLOOKUP($A235,[1]Hugst!$R$5:$W$9,MATCH(ROUNDUP((T$1)/10,0)*10,[1]Hugst!$R$4:$W$4,0))))</f>
        <v>0</v>
      </c>
      <c r="U235" s="168">
        <f ca="1">IF($C235-U$1&lt;År1,0,T234*(1-VLOOKUP($A235,[1]Hugst!$R$5:$W$9,MATCH(ROUNDUP((U$1)/10,0)*10,[1]Hugst!$R$4:$W$4,0))))</f>
        <v>0</v>
      </c>
      <c r="V235" s="168">
        <f ca="1">IF($C235-V$1&lt;År1,0,U234*(1-VLOOKUP($A235,[1]Hugst!$R$5:$W$9,MATCH(ROUNDUP((V$1)/10,0)*10,[1]Hugst!$R$4:$W$4,0))))</f>
        <v>0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*VLOOKUP(A236,Skovbrug!$A$13:$D$17,IF('Skovbrug-alder'!C236&lt;=År2,3,4),FALSE)-IF(C236&gt;2020,SUM(INDEX($C$1:$D$311,MATCH(1,(2020=$C$1:$C$311)*(B236=$B$1:$B$311)*(A236=$A$1:$A$311),0),2):D235),0))</f>
        <v>0</v>
      </c>
      <c r="E236" s="168">
        <f t="shared" ca="1" si="5"/>
        <v>0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8">
        <f ca="1">IF($C236-G$1&lt;År1,0,F235*(1-VLOOKUP($A236,[1]Hugst!$R$5:$W$9,MATCH(ROUNDUP((G$1)/10,0)*10,[1]Hugst!$R$4:$W$4,0))))</f>
        <v>0</v>
      </c>
      <c r="H236" s="168">
        <f ca="1">IF($C236-H$1&lt;År1,0,G235*(1-VLOOKUP($A236,[1]Hugst!$R$5:$W$9,MATCH(ROUNDUP((H$1)/10,0)*10,[1]Hugst!$R$4:$W$4,0))))</f>
        <v>0</v>
      </c>
      <c r="I236" s="168">
        <f ca="1">IF($C236-I$1&lt;År1,0,H235*(1-VLOOKUP($A236,[1]Hugst!$R$5:$W$9,MATCH(ROUNDUP((I$1)/10,0)*10,[1]Hugst!$R$4:$W$4,0))))</f>
        <v>0</v>
      </c>
      <c r="J236" s="168">
        <f ca="1">IF($C236-J$1&lt;År1,0,I235*(1-VLOOKUP($A236,[1]Hugst!$R$5:$W$9,MATCH(ROUNDUP((J$1)/10,0)*10,[1]Hugst!$R$4:$W$4,0))))</f>
        <v>0</v>
      </c>
      <c r="K236" s="168">
        <f ca="1">IF($C236-K$1&lt;År1,0,J235*(1-VLOOKUP($A236,[1]Hugst!$R$5:$W$9,MATCH(ROUNDUP((K$1)/10,0)*10,[1]Hugst!$R$4:$W$4,0))))</f>
        <v>0</v>
      </c>
      <c r="L236" s="168">
        <f ca="1">IF($C236-L$1&lt;År1,0,K235*(1-VLOOKUP($A236,[1]Hugst!$R$5:$W$9,MATCH(ROUNDUP((L$1)/10,0)*10,[1]Hugst!$R$4:$W$4,0))))</f>
        <v>0</v>
      </c>
      <c r="M236" s="168">
        <f ca="1">IF($C236-M$1&lt;År1,0,L235*(1-VLOOKUP($A236,[1]Hugst!$R$5:$W$9,MATCH(ROUNDUP((M$1)/10,0)*10,[1]Hugst!$R$4:$W$4,0))))</f>
        <v>0</v>
      </c>
      <c r="N236" s="168">
        <f ca="1">IF($C236-N$1&lt;År1,0,M235*(1-VLOOKUP($A236,[1]Hugst!$R$5:$W$9,MATCH(ROUNDUP((N$1)/10,0)*10,[1]Hugst!$R$4:$W$4,0))))</f>
        <v>0</v>
      </c>
      <c r="O236" s="168">
        <f ca="1">IF($C236-O$1&lt;År1,0,N235*(1-VLOOKUP($A236,[1]Hugst!$R$5:$W$9,MATCH(ROUNDUP((O$1)/10,0)*10,[1]Hugst!$R$4:$W$4,0))))</f>
        <v>0</v>
      </c>
      <c r="P236" s="168">
        <f ca="1">IF($C236-P$1&lt;År1,0,O235*(1-VLOOKUP($A236,[1]Hugst!$R$5:$W$9,MATCH(ROUNDUP((P$1)/10,0)*10,[1]Hugst!$R$4:$W$4,0))))</f>
        <v>0</v>
      </c>
      <c r="Q236" s="168">
        <f ca="1">IF($C236-Q$1&lt;År1,0,P235*(1-VLOOKUP($A236,[1]Hugst!$R$5:$W$9,MATCH(ROUNDUP((Q$1)/10,0)*10,[1]Hugst!$R$4:$W$4,0))))</f>
        <v>0</v>
      </c>
      <c r="R236" s="168">
        <f ca="1">IF($C236-R$1&lt;År1,0,Q235*(1-VLOOKUP($A236,[1]Hugst!$R$5:$W$9,MATCH(ROUNDUP((R$1)/10,0)*10,[1]Hugst!$R$4:$W$4,0))))</f>
        <v>0</v>
      </c>
      <c r="S236" s="168">
        <f ca="1">IF($C236-S$1&lt;År1,0,R235*(1-VLOOKUP($A236,[1]Hugst!$R$5:$W$9,MATCH(ROUNDUP((S$1)/10,0)*10,[1]Hugst!$R$4:$W$4,0))))</f>
        <v>0</v>
      </c>
      <c r="T236" s="168">
        <f ca="1">IF($C236-T$1&lt;År1,0,S235*(1-VLOOKUP($A236,[1]Hugst!$R$5:$W$9,MATCH(ROUNDUP((T$1)/10,0)*10,[1]Hugst!$R$4:$W$4,0))))</f>
        <v>0</v>
      </c>
      <c r="U236" s="168">
        <f ca="1">IF($C236-U$1&lt;År1,0,T235*(1-VLOOKUP($A236,[1]Hugst!$R$5:$W$9,MATCH(ROUNDUP((U$1)/10,0)*10,[1]Hugst!$R$4:$W$4,0))))</f>
        <v>0</v>
      </c>
      <c r="V236" s="168">
        <f ca="1">IF($C236-V$1&lt;År1,0,U235*(1-VLOOKUP($A236,[1]Hugst!$R$5:$W$9,MATCH(ROUNDUP((V$1)/10,0)*10,[1]Hugst!$R$4:$W$4,0))))</f>
        <v>0</v>
      </c>
      <c r="W236" s="168">
        <f ca="1">IF($C236-W$1&lt;År1,0,V235*(1-VLOOKUP($A236,[1]Hugst!$R$5:$W$9,MATCH(ROUNDUP((W$1)/10,0)*10,[1]Hugst!$R$4:$W$4,0))))</f>
        <v>0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*VLOOKUP(A237,Skovbrug!$A$13:$D$17,IF('Skovbrug-alder'!C237&lt;=År2,3,4),FALSE)-IF(C237&gt;2020,SUM(INDEX($C$1:$D$311,MATCH(1,(2020=$C$1:$C$311)*(B237=$B$1:$B$311)*(A237=$A$1:$A$311),0),2):D236),0))</f>
        <v>0</v>
      </c>
      <c r="E237" s="168">
        <f t="shared" ca="1" si="5"/>
        <v>0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8">
        <f ca="1">IF($C237-G$1&lt;År1,0,F236*(1-VLOOKUP($A237,[1]Hugst!$R$5:$W$9,MATCH(ROUNDUP((G$1)/10,0)*10,[1]Hugst!$R$4:$W$4,0))))</f>
        <v>0</v>
      </c>
      <c r="H237" s="168">
        <f ca="1">IF($C237-H$1&lt;År1,0,G236*(1-VLOOKUP($A237,[1]Hugst!$R$5:$W$9,MATCH(ROUNDUP((H$1)/10,0)*10,[1]Hugst!$R$4:$W$4,0))))</f>
        <v>0</v>
      </c>
      <c r="I237" s="168">
        <f ca="1">IF($C237-I$1&lt;År1,0,H236*(1-VLOOKUP($A237,[1]Hugst!$R$5:$W$9,MATCH(ROUNDUP((I$1)/10,0)*10,[1]Hugst!$R$4:$W$4,0))))</f>
        <v>0</v>
      </c>
      <c r="J237" s="168">
        <f ca="1">IF($C237-J$1&lt;År1,0,I236*(1-VLOOKUP($A237,[1]Hugst!$R$5:$W$9,MATCH(ROUNDUP((J$1)/10,0)*10,[1]Hugst!$R$4:$W$4,0))))</f>
        <v>0</v>
      </c>
      <c r="K237" s="168">
        <f ca="1">IF($C237-K$1&lt;År1,0,J236*(1-VLOOKUP($A237,[1]Hugst!$R$5:$W$9,MATCH(ROUNDUP((K$1)/10,0)*10,[1]Hugst!$R$4:$W$4,0))))</f>
        <v>0</v>
      </c>
      <c r="L237" s="168">
        <f ca="1">IF($C237-L$1&lt;År1,0,K236*(1-VLOOKUP($A237,[1]Hugst!$R$5:$W$9,MATCH(ROUNDUP((L$1)/10,0)*10,[1]Hugst!$R$4:$W$4,0))))</f>
        <v>0</v>
      </c>
      <c r="M237" s="168">
        <f ca="1">IF($C237-M$1&lt;År1,0,L236*(1-VLOOKUP($A237,[1]Hugst!$R$5:$W$9,MATCH(ROUNDUP((M$1)/10,0)*10,[1]Hugst!$R$4:$W$4,0))))</f>
        <v>0</v>
      </c>
      <c r="N237" s="168">
        <f ca="1">IF($C237-N$1&lt;År1,0,M236*(1-VLOOKUP($A237,[1]Hugst!$R$5:$W$9,MATCH(ROUNDUP((N$1)/10,0)*10,[1]Hugst!$R$4:$W$4,0))))</f>
        <v>0</v>
      </c>
      <c r="O237" s="168">
        <f ca="1">IF($C237-O$1&lt;År1,0,N236*(1-VLOOKUP($A237,[1]Hugst!$R$5:$W$9,MATCH(ROUNDUP((O$1)/10,0)*10,[1]Hugst!$R$4:$W$4,0))))</f>
        <v>0</v>
      </c>
      <c r="P237" s="168">
        <f ca="1">IF($C237-P$1&lt;År1,0,O236*(1-VLOOKUP($A237,[1]Hugst!$R$5:$W$9,MATCH(ROUNDUP((P$1)/10,0)*10,[1]Hugst!$R$4:$W$4,0))))</f>
        <v>0</v>
      </c>
      <c r="Q237" s="168">
        <f ca="1">IF($C237-Q$1&lt;År1,0,P236*(1-VLOOKUP($A237,[1]Hugst!$R$5:$W$9,MATCH(ROUNDUP((Q$1)/10,0)*10,[1]Hugst!$R$4:$W$4,0))))</f>
        <v>0</v>
      </c>
      <c r="R237" s="168">
        <f ca="1">IF($C237-R$1&lt;År1,0,Q236*(1-VLOOKUP($A237,[1]Hugst!$R$5:$W$9,MATCH(ROUNDUP((R$1)/10,0)*10,[1]Hugst!$R$4:$W$4,0))))</f>
        <v>0</v>
      </c>
      <c r="S237" s="168">
        <f ca="1">IF($C237-S$1&lt;År1,0,R236*(1-VLOOKUP($A237,[1]Hugst!$R$5:$W$9,MATCH(ROUNDUP((S$1)/10,0)*10,[1]Hugst!$R$4:$W$4,0))))</f>
        <v>0</v>
      </c>
      <c r="T237" s="168">
        <f ca="1">IF($C237-T$1&lt;År1,0,S236*(1-VLOOKUP($A237,[1]Hugst!$R$5:$W$9,MATCH(ROUNDUP((T$1)/10,0)*10,[1]Hugst!$R$4:$W$4,0))))</f>
        <v>0</v>
      </c>
      <c r="U237" s="168">
        <f ca="1">IF($C237-U$1&lt;År1,0,T236*(1-VLOOKUP($A237,[1]Hugst!$R$5:$W$9,MATCH(ROUNDUP((U$1)/10,0)*10,[1]Hugst!$R$4:$W$4,0))))</f>
        <v>0</v>
      </c>
      <c r="V237" s="168">
        <f ca="1">IF($C237-V$1&lt;År1,0,U236*(1-VLOOKUP($A237,[1]Hugst!$R$5:$W$9,MATCH(ROUNDUP((V$1)/10,0)*10,[1]Hugst!$R$4:$W$4,0))))</f>
        <v>0</v>
      </c>
      <c r="W237" s="168">
        <f ca="1">IF($C237-W$1&lt;År1,0,V236*(1-VLOOKUP($A237,[1]Hugst!$R$5:$W$9,MATCH(ROUNDUP((W$1)/10,0)*10,[1]Hugst!$R$4:$W$4,0))))</f>
        <v>0</v>
      </c>
      <c r="X237" s="168">
        <f ca="1">IF($C237-X$1&lt;År1,0,W236*(1-VLOOKUP($A237,[1]Hugst!$R$5:$W$9,MATCH(ROUNDUP((X$1)/10,0)*10,[1]Hugst!$R$4:$W$4,0))))</f>
        <v>0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*VLOOKUP(A238,Skovbrug!$A$13:$D$17,IF('Skovbrug-alder'!C238&lt;=År2,3,4),FALSE)-IF(C238&gt;2020,SUM(INDEX($C$1:$D$311,MATCH(1,(2020=$C$1:$C$311)*(B238=$B$1:$B$311)*(A238=$A$1:$A$311),0),2):D237),0))</f>
        <v>0</v>
      </c>
      <c r="E238" s="168">
        <f t="shared" ca="1" si="5"/>
        <v>0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8">
        <f ca="1">IF($C238-G$1&lt;År1,0,F237*(1-VLOOKUP($A238,[1]Hugst!$R$5:$W$9,MATCH(ROUNDUP((G$1)/10,0)*10,[1]Hugst!$R$4:$W$4,0))))</f>
        <v>0</v>
      </c>
      <c r="H238" s="168">
        <f ca="1">IF($C238-H$1&lt;År1,0,G237*(1-VLOOKUP($A238,[1]Hugst!$R$5:$W$9,MATCH(ROUNDUP((H$1)/10,0)*10,[1]Hugst!$R$4:$W$4,0))))</f>
        <v>0</v>
      </c>
      <c r="I238" s="168">
        <f ca="1">IF($C238-I$1&lt;År1,0,H237*(1-VLOOKUP($A238,[1]Hugst!$R$5:$W$9,MATCH(ROUNDUP((I$1)/10,0)*10,[1]Hugst!$R$4:$W$4,0))))</f>
        <v>0</v>
      </c>
      <c r="J238" s="168">
        <f ca="1">IF($C238-J$1&lt;År1,0,I237*(1-VLOOKUP($A238,[1]Hugst!$R$5:$W$9,MATCH(ROUNDUP((J$1)/10,0)*10,[1]Hugst!$R$4:$W$4,0))))</f>
        <v>0</v>
      </c>
      <c r="K238" s="168">
        <f ca="1">IF($C238-K$1&lt;År1,0,J237*(1-VLOOKUP($A238,[1]Hugst!$R$5:$W$9,MATCH(ROUNDUP((K$1)/10,0)*10,[1]Hugst!$R$4:$W$4,0))))</f>
        <v>0</v>
      </c>
      <c r="L238" s="168">
        <f ca="1">IF($C238-L$1&lt;År1,0,K237*(1-VLOOKUP($A238,[1]Hugst!$R$5:$W$9,MATCH(ROUNDUP((L$1)/10,0)*10,[1]Hugst!$R$4:$W$4,0))))</f>
        <v>0</v>
      </c>
      <c r="M238" s="168">
        <f ca="1">IF($C238-M$1&lt;År1,0,L237*(1-VLOOKUP($A238,[1]Hugst!$R$5:$W$9,MATCH(ROUNDUP((M$1)/10,0)*10,[1]Hugst!$R$4:$W$4,0))))</f>
        <v>0</v>
      </c>
      <c r="N238" s="168">
        <f ca="1">IF($C238-N$1&lt;År1,0,M237*(1-VLOOKUP($A238,[1]Hugst!$R$5:$W$9,MATCH(ROUNDUP((N$1)/10,0)*10,[1]Hugst!$R$4:$W$4,0))))</f>
        <v>0</v>
      </c>
      <c r="O238" s="168">
        <f ca="1">IF($C238-O$1&lt;År1,0,N237*(1-VLOOKUP($A238,[1]Hugst!$R$5:$W$9,MATCH(ROUNDUP((O$1)/10,0)*10,[1]Hugst!$R$4:$W$4,0))))</f>
        <v>0</v>
      </c>
      <c r="P238" s="168">
        <f ca="1">IF($C238-P$1&lt;År1,0,O237*(1-VLOOKUP($A238,[1]Hugst!$R$5:$W$9,MATCH(ROUNDUP((P$1)/10,0)*10,[1]Hugst!$R$4:$W$4,0))))</f>
        <v>0</v>
      </c>
      <c r="Q238" s="168">
        <f ca="1">IF($C238-Q$1&lt;År1,0,P237*(1-VLOOKUP($A238,[1]Hugst!$R$5:$W$9,MATCH(ROUNDUP((Q$1)/10,0)*10,[1]Hugst!$R$4:$W$4,0))))</f>
        <v>0</v>
      </c>
      <c r="R238" s="168">
        <f ca="1">IF($C238-R$1&lt;År1,0,Q237*(1-VLOOKUP($A238,[1]Hugst!$R$5:$W$9,MATCH(ROUNDUP((R$1)/10,0)*10,[1]Hugst!$R$4:$W$4,0))))</f>
        <v>0</v>
      </c>
      <c r="S238" s="168">
        <f ca="1">IF($C238-S$1&lt;År1,0,R237*(1-VLOOKUP($A238,[1]Hugst!$R$5:$W$9,MATCH(ROUNDUP((S$1)/10,0)*10,[1]Hugst!$R$4:$W$4,0))))</f>
        <v>0</v>
      </c>
      <c r="T238" s="168">
        <f ca="1">IF($C238-T$1&lt;År1,0,S237*(1-VLOOKUP($A238,[1]Hugst!$R$5:$W$9,MATCH(ROUNDUP((T$1)/10,0)*10,[1]Hugst!$R$4:$W$4,0))))</f>
        <v>0</v>
      </c>
      <c r="U238" s="168">
        <f ca="1">IF($C238-U$1&lt;År1,0,T237*(1-VLOOKUP($A238,[1]Hugst!$R$5:$W$9,MATCH(ROUNDUP((U$1)/10,0)*10,[1]Hugst!$R$4:$W$4,0))))</f>
        <v>0</v>
      </c>
      <c r="V238" s="168">
        <f ca="1">IF($C238-V$1&lt;År1,0,U237*(1-VLOOKUP($A238,[1]Hugst!$R$5:$W$9,MATCH(ROUNDUP((V$1)/10,0)*10,[1]Hugst!$R$4:$W$4,0))))</f>
        <v>0</v>
      </c>
      <c r="W238" s="168">
        <f ca="1">IF($C238-W$1&lt;År1,0,V237*(1-VLOOKUP($A238,[1]Hugst!$R$5:$W$9,MATCH(ROUNDUP((W$1)/10,0)*10,[1]Hugst!$R$4:$W$4,0))))</f>
        <v>0</v>
      </c>
      <c r="X238" s="168">
        <f ca="1">IF($C238-X$1&lt;År1,0,W237*(1-VLOOKUP($A238,[1]Hugst!$R$5:$W$9,MATCH(ROUNDUP((X$1)/10,0)*10,[1]Hugst!$R$4:$W$4,0))))</f>
        <v>0</v>
      </c>
      <c r="Y238" s="168">
        <f ca="1">IF($C238-Y$1&lt;År1,0,X237*(1-VLOOKUP($A238,[1]Hugst!$R$5:$W$9,MATCH(ROUNDUP((Y$1)/10,0)*10,[1]Hugst!$R$4:$W$4,0))))</f>
        <v>0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*VLOOKUP(A239,Skovbrug!$A$13:$D$17,IF('Skovbrug-alder'!C239&lt;=År2,3,4),FALSE)-IF(C239&gt;2020,SUM(INDEX($C$1:$D$311,MATCH(1,(2020=$C$1:$C$311)*(B239=$B$1:$B$311)*(A239=$A$1:$A$311),0),2):D238),0))</f>
        <v>0</v>
      </c>
      <c r="E239" s="168">
        <f t="shared" ca="1" si="5"/>
        <v>0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8">
        <f ca="1">IF($C239-G$1&lt;År1,0,F238*(1-VLOOKUP($A239,[1]Hugst!$R$5:$W$9,MATCH(ROUNDUP((G$1)/10,0)*10,[1]Hugst!$R$4:$W$4,0))))</f>
        <v>0</v>
      </c>
      <c r="H239" s="168">
        <f ca="1">IF($C239-H$1&lt;År1,0,G238*(1-VLOOKUP($A239,[1]Hugst!$R$5:$W$9,MATCH(ROUNDUP((H$1)/10,0)*10,[1]Hugst!$R$4:$W$4,0))))</f>
        <v>0</v>
      </c>
      <c r="I239" s="168">
        <f ca="1">IF($C239-I$1&lt;År1,0,H238*(1-VLOOKUP($A239,[1]Hugst!$R$5:$W$9,MATCH(ROUNDUP((I$1)/10,0)*10,[1]Hugst!$R$4:$W$4,0))))</f>
        <v>0</v>
      </c>
      <c r="J239" s="168">
        <f ca="1">IF($C239-J$1&lt;År1,0,I238*(1-VLOOKUP($A239,[1]Hugst!$R$5:$W$9,MATCH(ROUNDUP((J$1)/10,0)*10,[1]Hugst!$R$4:$W$4,0))))</f>
        <v>0</v>
      </c>
      <c r="K239" s="168">
        <f ca="1">IF($C239-K$1&lt;År1,0,J238*(1-VLOOKUP($A239,[1]Hugst!$R$5:$W$9,MATCH(ROUNDUP((K$1)/10,0)*10,[1]Hugst!$R$4:$W$4,0))))</f>
        <v>0</v>
      </c>
      <c r="L239" s="168">
        <f ca="1">IF($C239-L$1&lt;År1,0,K238*(1-VLOOKUP($A239,[1]Hugst!$R$5:$W$9,MATCH(ROUNDUP((L$1)/10,0)*10,[1]Hugst!$R$4:$W$4,0))))</f>
        <v>0</v>
      </c>
      <c r="M239" s="168">
        <f ca="1">IF($C239-M$1&lt;År1,0,L238*(1-VLOOKUP($A239,[1]Hugst!$R$5:$W$9,MATCH(ROUNDUP((M$1)/10,0)*10,[1]Hugst!$R$4:$W$4,0))))</f>
        <v>0</v>
      </c>
      <c r="N239" s="168">
        <f ca="1">IF($C239-N$1&lt;År1,0,M238*(1-VLOOKUP($A239,[1]Hugst!$R$5:$W$9,MATCH(ROUNDUP((N$1)/10,0)*10,[1]Hugst!$R$4:$W$4,0))))</f>
        <v>0</v>
      </c>
      <c r="O239" s="168">
        <f ca="1">IF($C239-O$1&lt;År1,0,N238*(1-VLOOKUP($A239,[1]Hugst!$R$5:$W$9,MATCH(ROUNDUP((O$1)/10,0)*10,[1]Hugst!$R$4:$W$4,0))))</f>
        <v>0</v>
      </c>
      <c r="P239" s="168">
        <f ca="1">IF($C239-P$1&lt;År1,0,O238*(1-VLOOKUP($A239,[1]Hugst!$R$5:$W$9,MATCH(ROUNDUP((P$1)/10,0)*10,[1]Hugst!$R$4:$W$4,0))))</f>
        <v>0</v>
      </c>
      <c r="Q239" s="168">
        <f ca="1">IF($C239-Q$1&lt;År1,0,P238*(1-VLOOKUP($A239,[1]Hugst!$R$5:$W$9,MATCH(ROUNDUP((Q$1)/10,0)*10,[1]Hugst!$R$4:$W$4,0))))</f>
        <v>0</v>
      </c>
      <c r="R239" s="168">
        <f ca="1">IF($C239-R$1&lt;År1,0,Q238*(1-VLOOKUP($A239,[1]Hugst!$R$5:$W$9,MATCH(ROUNDUP((R$1)/10,0)*10,[1]Hugst!$R$4:$W$4,0))))</f>
        <v>0</v>
      </c>
      <c r="S239" s="168">
        <f ca="1">IF($C239-S$1&lt;År1,0,R238*(1-VLOOKUP($A239,[1]Hugst!$R$5:$W$9,MATCH(ROUNDUP((S$1)/10,0)*10,[1]Hugst!$R$4:$W$4,0))))</f>
        <v>0</v>
      </c>
      <c r="T239" s="168">
        <f ca="1">IF($C239-T$1&lt;År1,0,S238*(1-VLOOKUP($A239,[1]Hugst!$R$5:$W$9,MATCH(ROUNDUP((T$1)/10,0)*10,[1]Hugst!$R$4:$W$4,0))))</f>
        <v>0</v>
      </c>
      <c r="U239" s="168">
        <f ca="1">IF($C239-U$1&lt;År1,0,T238*(1-VLOOKUP($A239,[1]Hugst!$R$5:$W$9,MATCH(ROUNDUP((U$1)/10,0)*10,[1]Hugst!$R$4:$W$4,0))))</f>
        <v>0</v>
      </c>
      <c r="V239" s="168">
        <f ca="1">IF($C239-V$1&lt;År1,0,U238*(1-VLOOKUP($A239,[1]Hugst!$R$5:$W$9,MATCH(ROUNDUP((V$1)/10,0)*10,[1]Hugst!$R$4:$W$4,0))))</f>
        <v>0</v>
      </c>
      <c r="W239" s="168">
        <f ca="1">IF($C239-W$1&lt;År1,0,V238*(1-VLOOKUP($A239,[1]Hugst!$R$5:$W$9,MATCH(ROUNDUP((W$1)/10,0)*10,[1]Hugst!$R$4:$W$4,0))))</f>
        <v>0</v>
      </c>
      <c r="X239" s="168">
        <f ca="1">IF($C239-X$1&lt;År1,0,W238*(1-VLOOKUP($A239,[1]Hugst!$R$5:$W$9,MATCH(ROUNDUP((X$1)/10,0)*10,[1]Hugst!$R$4:$W$4,0))))</f>
        <v>0</v>
      </c>
      <c r="Y239" s="168">
        <f ca="1">IF($C239-Y$1&lt;År1,0,X238*(1-VLOOKUP($A239,[1]Hugst!$R$5:$W$9,MATCH(ROUNDUP((Y$1)/10,0)*10,[1]Hugst!$R$4:$W$4,0))))</f>
        <v>0</v>
      </c>
      <c r="Z239" s="168">
        <f ca="1">IF($C239-Z$1&lt;År1,0,Y238*(1-VLOOKUP($A239,[1]Hugst!$R$5:$W$9,MATCH(ROUNDUP((Z$1)/10,0)*10,[1]Hugst!$R$4:$W$4,0))))</f>
        <v>0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*VLOOKUP(A240,Skovbrug!$A$13:$D$17,IF('Skovbrug-alder'!C240&lt;=År2,3,4),FALSE)-IF(C240&gt;2020,SUM(INDEX($C$1:$D$311,MATCH(1,(2020=$C$1:$C$311)*(B240=$B$1:$B$311)*(A240=$A$1:$A$311),0),2):D239),0))</f>
        <v>0</v>
      </c>
      <c r="E240" s="168">
        <f t="shared" ca="1" si="5"/>
        <v>0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8">
        <f ca="1">IF($C240-G$1&lt;År1,0,F239*(1-VLOOKUP($A240,[1]Hugst!$R$5:$W$9,MATCH(ROUNDUP((G$1)/10,0)*10,[1]Hugst!$R$4:$W$4,0))))</f>
        <v>0</v>
      </c>
      <c r="H240" s="168">
        <f ca="1">IF($C240-H$1&lt;År1,0,G239*(1-VLOOKUP($A240,[1]Hugst!$R$5:$W$9,MATCH(ROUNDUP((H$1)/10,0)*10,[1]Hugst!$R$4:$W$4,0))))</f>
        <v>0</v>
      </c>
      <c r="I240" s="168">
        <f ca="1">IF($C240-I$1&lt;År1,0,H239*(1-VLOOKUP($A240,[1]Hugst!$R$5:$W$9,MATCH(ROUNDUP((I$1)/10,0)*10,[1]Hugst!$R$4:$W$4,0))))</f>
        <v>0</v>
      </c>
      <c r="J240" s="168">
        <f ca="1">IF($C240-J$1&lt;År1,0,I239*(1-VLOOKUP($A240,[1]Hugst!$R$5:$W$9,MATCH(ROUNDUP((J$1)/10,0)*10,[1]Hugst!$R$4:$W$4,0))))</f>
        <v>0</v>
      </c>
      <c r="K240" s="168">
        <f ca="1">IF($C240-K$1&lt;År1,0,J239*(1-VLOOKUP($A240,[1]Hugst!$R$5:$W$9,MATCH(ROUNDUP((K$1)/10,0)*10,[1]Hugst!$R$4:$W$4,0))))</f>
        <v>0</v>
      </c>
      <c r="L240" s="168">
        <f ca="1">IF($C240-L$1&lt;År1,0,K239*(1-VLOOKUP($A240,[1]Hugst!$R$5:$W$9,MATCH(ROUNDUP((L$1)/10,0)*10,[1]Hugst!$R$4:$W$4,0))))</f>
        <v>0</v>
      </c>
      <c r="M240" s="168">
        <f ca="1">IF($C240-M$1&lt;År1,0,L239*(1-VLOOKUP($A240,[1]Hugst!$R$5:$W$9,MATCH(ROUNDUP((M$1)/10,0)*10,[1]Hugst!$R$4:$W$4,0))))</f>
        <v>0</v>
      </c>
      <c r="N240" s="168">
        <f ca="1">IF($C240-N$1&lt;År1,0,M239*(1-VLOOKUP($A240,[1]Hugst!$R$5:$W$9,MATCH(ROUNDUP((N$1)/10,0)*10,[1]Hugst!$R$4:$W$4,0))))</f>
        <v>0</v>
      </c>
      <c r="O240" s="168">
        <f ca="1">IF($C240-O$1&lt;År1,0,N239*(1-VLOOKUP($A240,[1]Hugst!$R$5:$W$9,MATCH(ROUNDUP((O$1)/10,0)*10,[1]Hugst!$R$4:$W$4,0))))</f>
        <v>0</v>
      </c>
      <c r="P240" s="168">
        <f ca="1">IF($C240-P$1&lt;År1,0,O239*(1-VLOOKUP($A240,[1]Hugst!$R$5:$W$9,MATCH(ROUNDUP((P$1)/10,0)*10,[1]Hugst!$R$4:$W$4,0))))</f>
        <v>0</v>
      </c>
      <c r="Q240" s="168">
        <f ca="1">IF($C240-Q$1&lt;År1,0,P239*(1-VLOOKUP($A240,[1]Hugst!$R$5:$W$9,MATCH(ROUNDUP((Q$1)/10,0)*10,[1]Hugst!$R$4:$W$4,0))))</f>
        <v>0</v>
      </c>
      <c r="R240" s="168">
        <f ca="1">IF($C240-R$1&lt;År1,0,Q239*(1-VLOOKUP($A240,[1]Hugst!$R$5:$W$9,MATCH(ROUNDUP((R$1)/10,0)*10,[1]Hugst!$R$4:$W$4,0))))</f>
        <v>0</v>
      </c>
      <c r="S240" s="168">
        <f ca="1">IF($C240-S$1&lt;År1,0,R239*(1-VLOOKUP($A240,[1]Hugst!$R$5:$W$9,MATCH(ROUNDUP((S$1)/10,0)*10,[1]Hugst!$R$4:$W$4,0))))</f>
        <v>0</v>
      </c>
      <c r="T240" s="168">
        <f ca="1">IF($C240-T$1&lt;År1,0,S239*(1-VLOOKUP($A240,[1]Hugst!$R$5:$W$9,MATCH(ROUNDUP((T$1)/10,0)*10,[1]Hugst!$R$4:$W$4,0))))</f>
        <v>0</v>
      </c>
      <c r="U240" s="168">
        <f ca="1">IF($C240-U$1&lt;År1,0,T239*(1-VLOOKUP($A240,[1]Hugst!$R$5:$W$9,MATCH(ROUNDUP((U$1)/10,0)*10,[1]Hugst!$R$4:$W$4,0))))</f>
        <v>0</v>
      </c>
      <c r="V240" s="168">
        <f ca="1">IF($C240-V$1&lt;År1,0,U239*(1-VLOOKUP($A240,[1]Hugst!$R$5:$W$9,MATCH(ROUNDUP((V$1)/10,0)*10,[1]Hugst!$R$4:$W$4,0))))</f>
        <v>0</v>
      </c>
      <c r="W240" s="168">
        <f ca="1">IF($C240-W$1&lt;År1,0,V239*(1-VLOOKUP($A240,[1]Hugst!$R$5:$W$9,MATCH(ROUNDUP((W$1)/10,0)*10,[1]Hugst!$R$4:$W$4,0))))</f>
        <v>0</v>
      </c>
      <c r="X240" s="168">
        <f ca="1">IF($C240-X$1&lt;År1,0,W239*(1-VLOOKUP($A240,[1]Hugst!$R$5:$W$9,MATCH(ROUNDUP((X$1)/10,0)*10,[1]Hugst!$R$4:$W$4,0))))</f>
        <v>0</v>
      </c>
      <c r="Y240" s="168">
        <f ca="1">IF($C240-Y$1&lt;År1,0,X239*(1-VLOOKUP($A240,[1]Hugst!$R$5:$W$9,MATCH(ROUNDUP((Y$1)/10,0)*10,[1]Hugst!$R$4:$W$4,0))))</f>
        <v>0</v>
      </c>
      <c r="Z240" s="168">
        <f ca="1">IF($C240-Z$1&lt;År1,0,Y239*(1-VLOOKUP($A240,[1]Hugst!$R$5:$W$9,MATCH(ROUNDUP((Z$1)/10,0)*10,[1]Hugst!$R$4:$W$4,0))))</f>
        <v>0</v>
      </c>
      <c r="AA240" s="168">
        <f ca="1">IF($C240-AA$1&lt;År1,0,Z239*(1-VLOOKUP($A240,[1]Hugst!$R$5:$W$9,MATCH(ROUNDUP((AA$1)/10,0)*10,[1]Hugst!$R$4:$W$4,0))))</f>
        <v>0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*VLOOKUP(A241,Skovbrug!$A$13:$D$17,IF('Skovbrug-alder'!C241&lt;=År2,3,4),FALSE)-IF(C241&gt;2020,SUM(INDEX($C$1:$D$311,MATCH(1,(2020=$C$1:$C$311)*(B241=$B$1:$B$311)*(A241=$A$1:$A$311),0),2):D240),0))</f>
        <v>0</v>
      </c>
      <c r="E241" s="168">
        <f t="shared" ca="1" si="5"/>
        <v>0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8">
        <f ca="1">IF($C241-G$1&lt;År1,0,F240*(1-VLOOKUP($A241,[1]Hugst!$R$5:$W$9,MATCH(ROUNDUP((G$1)/10,0)*10,[1]Hugst!$R$4:$W$4,0))))</f>
        <v>0</v>
      </c>
      <c r="H241" s="168">
        <f ca="1">IF($C241-H$1&lt;År1,0,G240*(1-VLOOKUP($A241,[1]Hugst!$R$5:$W$9,MATCH(ROUNDUP((H$1)/10,0)*10,[1]Hugst!$R$4:$W$4,0))))</f>
        <v>0</v>
      </c>
      <c r="I241" s="168">
        <f ca="1">IF($C241-I$1&lt;År1,0,H240*(1-VLOOKUP($A241,[1]Hugst!$R$5:$W$9,MATCH(ROUNDUP((I$1)/10,0)*10,[1]Hugst!$R$4:$W$4,0))))</f>
        <v>0</v>
      </c>
      <c r="J241" s="168">
        <f ca="1">IF($C241-J$1&lt;År1,0,I240*(1-VLOOKUP($A241,[1]Hugst!$R$5:$W$9,MATCH(ROUNDUP((J$1)/10,0)*10,[1]Hugst!$R$4:$W$4,0))))</f>
        <v>0</v>
      </c>
      <c r="K241" s="168">
        <f ca="1">IF($C241-K$1&lt;År1,0,J240*(1-VLOOKUP($A241,[1]Hugst!$R$5:$W$9,MATCH(ROUNDUP((K$1)/10,0)*10,[1]Hugst!$R$4:$W$4,0))))</f>
        <v>0</v>
      </c>
      <c r="L241" s="168">
        <f ca="1">IF($C241-L$1&lt;År1,0,K240*(1-VLOOKUP($A241,[1]Hugst!$R$5:$W$9,MATCH(ROUNDUP((L$1)/10,0)*10,[1]Hugst!$R$4:$W$4,0))))</f>
        <v>0</v>
      </c>
      <c r="M241" s="168">
        <f ca="1">IF($C241-M$1&lt;År1,0,L240*(1-VLOOKUP($A241,[1]Hugst!$R$5:$W$9,MATCH(ROUNDUP((M$1)/10,0)*10,[1]Hugst!$R$4:$W$4,0))))</f>
        <v>0</v>
      </c>
      <c r="N241" s="168">
        <f ca="1">IF($C241-N$1&lt;År1,0,M240*(1-VLOOKUP($A241,[1]Hugst!$R$5:$W$9,MATCH(ROUNDUP((N$1)/10,0)*10,[1]Hugst!$R$4:$W$4,0))))</f>
        <v>0</v>
      </c>
      <c r="O241" s="168">
        <f ca="1">IF($C241-O$1&lt;År1,0,N240*(1-VLOOKUP($A241,[1]Hugst!$R$5:$W$9,MATCH(ROUNDUP((O$1)/10,0)*10,[1]Hugst!$R$4:$W$4,0))))</f>
        <v>0</v>
      </c>
      <c r="P241" s="168">
        <f ca="1">IF($C241-P$1&lt;År1,0,O240*(1-VLOOKUP($A241,[1]Hugst!$R$5:$W$9,MATCH(ROUNDUP((P$1)/10,0)*10,[1]Hugst!$R$4:$W$4,0))))</f>
        <v>0</v>
      </c>
      <c r="Q241" s="168">
        <f ca="1">IF($C241-Q$1&lt;År1,0,P240*(1-VLOOKUP($A241,[1]Hugst!$R$5:$W$9,MATCH(ROUNDUP((Q$1)/10,0)*10,[1]Hugst!$R$4:$W$4,0))))</f>
        <v>0</v>
      </c>
      <c r="R241" s="168">
        <f ca="1">IF($C241-R$1&lt;År1,0,Q240*(1-VLOOKUP($A241,[1]Hugst!$R$5:$W$9,MATCH(ROUNDUP((R$1)/10,0)*10,[1]Hugst!$R$4:$W$4,0))))</f>
        <v>0</v>
      </c>
      <c r="S241" s="168">
        <f ca="1">IF($C241-S$1&lt;År1,0,R240*(1-VLOOKUP($A241,[1]Hugst!$R$5:$W$9,MATCH(ROUNDUP((S$1)/10,0)*10,[1]Hugst!$R$4:$W$4,0))))</f>
        <v>0</v>
      </c>
      <c r="T241" s="168">
        <f ca="1">IF($C241-T$1&lt;År1,0,S240*(1-VLOOKUP($A241,[1]Hugst!$R$5:$W$9,MATCH(ROUNDUP((T$1)/10,0)*10,[1]Hugst!$R$4:$W$4,0))))</f>
        <v>0</v>
      </c>
      <c r="U241" s="168">
        <f ca="1">IF($C241-U$1&lt;År1,0,T240*(1-VLOOKUP($A241,[1]Hugst!$R$5:$W$9,MATCH(ROUNDUP((U$1)/10,0)*10,[1]Hugst!$R$4:$W$4,0))))</f>
        <v>0</v>
      </c>
      <c r="V241" s="168">
        <f ca="1">IF($C241-V$1&lt;År1,0,U240*(1-VLOOKUP($A241,[1]Hugst!$R$5:$W$9,MATCH(ROUNDUP((V$1)/10,0)*10,[1]Hugst!$R$4:$W$4,0))))</f>
        <v>0</v>
      </c>
      <c r="W241" s="168">
        <f ca="1">IF($C241-W$1&lt;År1,0,V240*(1-VLOOKUP($A241,[1]Hugst!$R$5:$W$9,MATCH(ROUNDUP((W$1)/10,0)*10,[1]Hugst!$R$4:$W$4,0))))</f>
        <v>0</v>
      </c>
      <c r="X241" s="168">
        <f ca="1">IF($C241-X$1&lt;År1,0,W240*(1-VLOOKUP($A241,[1]Hugst!$R$5:$W$9,MATCH(ROUNDUP((X$1)/10,0)*10,[1]Hugst!$R$4:$W$4,0))))</f>
        <v>0</v>
      </c>
      <c r="Y241" s="168">
        <f ca="1">IF($C241-Y$1&lt;År1,0,X240*(1-VLOOKUP($A241,[1]Hugst!$R$5:$W$9,MATCH(ROUNDUP((Y$1)/10,0)*10,[1]Hugst!$R$4:$W$4,0))))</f>
        <v>0</v>
      </c>
      <c r="Z241" s="168">
        <f ca="1">IF($C241-Z$1&lt;År1,0,Y240*(1-VLOOKUP($A241,[1]Hugst!$R$5:$W$9,MATCH(ROUNDUP((Z$1)/10,0)*10,[1]Hugst!$R$4:$W$4,0))))</f>
        <v>0</v>
      </c>
      <c r="AA241" s="168">
        <f ca="1">IF($C241-AA$1&lt;År1,0,Z240*(1-VLOOKUP($A241,[1]Hugst!$R$5:$W$9,MATCH(ROUNDUP((AA$1)/10,0)*10,[1]Hugst!$R$4:$W$4,0))))</f>
        <v>0</v>
      </c>
      <c r="AB241" s="168">
        <f ca="1">IF($C241-AB$1&lt;År1,0,AA240*(1-VLOOKUP($A241,[1]Hugst!$R$5:$W$9,MATCH(ROUNDUP((AB$1)/10,0)*10,[1]Hugst!$R$4:$W$4,0))))</f>
        <v>0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*VLOOKUP(A242,Skovbrug!$A$13:$D$17,IF('Skovbrug-alder'!C242&lt;=År2,3,4),FALSE)-IF(C242&gt;2020,SUM(INDEX($C$1:$D$311,MATCH(1,(2020=$C$1:$C$311)*(B242=$B$1:$B$311)*(A242=$A$1:$A$311),0),2):D241),0))</f>
        <v>0</v>
      </c>
      <c r="E242" s="168">
        <f t="shared" ca="1" si="5"/>
        <v>0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8">
        <f ca="1">IF($C242-G$1&lt;År1,0,F241*(1-VLOOKUP($A242,[1]Hugst!$R$5:$W$9,MATCH(ROUNDUP((G$1)/10,0)*10,[1]Hugst!$R$4:$W$4,0))))</f>
        <v>0</v>
      </c>
      <c r="H242" s="168">
        <f ca="1">IF($C242-H$1&lt;År1,0,G241*(1-VLOOKUP($A242,[1]Hugst!$R$5:$W$9,MATCH(ROUNDUP((H$1)/10,0)*10,[1]Hugst!$R$4:$W$4,0))))</f>
        <v>0</v>
      </c>
      <c r="I242" s="168">
        <f ca="1">IF($C242-I$1&lt;År1,0,H241*(1-VLOOKUP($A242,[1]Hugst!$R$5:$W$9,MATCH(ROUNDUP((I$1)/10,0)*10,[1]Hugst!$R$4:$W$4,0))))</f>
        <v>0</v>
      </c>
      <c r="J242" s="168">
        <f ca="1">IF($C242-J$1&lt;År1,0,I241*(1-VLOOKUP($A242,[1]Hugst!$R$5:$W$9,MATCH(ROUNDUP((J$1)/10,0)*10,[1]Hugst!$R$4:$W$4,0))))</f>
        <v>0</v>
      </c>
      <c r="K242" s="168">
        <f ca="1">IF($C242-K$1&lt;År1,0,J241*(1-VLOOKUP($A242,[1]Hugst!$R$5:$W$9,MATCH(ROUNDUP((K$1)/10,0)*10,[1]Hugst!$R$4:$W$4,0))))</f>
        <v>0</v>
      </c>
      <c r="L242" s="168">
        <f ca="1">IF($C242-L$1&lt;År1,0,K241*(1-VLOOKUP($A242,[1]Hugst!$R$5:$W$9,MATCH(ROUNDUP((L$1)/10,0)*10,[1]Hugst!$R$4:$W$4,0))))</f>
        <v>0</v>
      </c>
      <c r="M242" s="168">
        <f ca="1">IF($C242-M$1&lt;År1,0,L241*(1-VLOOKUP($A242,[1]Hugst!$R$5:$W$9,MATCH(ROUNDUP((M$1)/10,0)*10,[1]Hugst!$R$4:$W$4,0))))</f>
        <v>0</v>
      </c>
      <c r="N242" s="168">
        <f ca="1">IF($C242-N$1&lt;År1,0,M241*(1-VLOOKUP($A242,[1]Hugst!$R$5:$W$9,MATCH(ROUNDUP((N$1)/10,0)*10,[1]Hugst!$R$4:$W$4,0))))</f>
        <v>0</v>
      </c>
      <c r="O242" s="168">
        <f ca="1">IF($C242-O$1&lt;År1,0,N241*(1-VLOOKUP($A242,[1]Hugst!$R$5:$W$9,MATCH(ROUNDUP((O$1)/10,0)*10,[1]Hugst!$R$4:$W$4,0))))</f>
        <v>0</v>
      </c>
      <c r="P242" s="168">
        <f ca="1">IF($C242-P$1&lt;År1,0,O241*(1-VLOOKUP($A242,[1]Hugst!$R$5:$W$9,MATCH(ROUNDUP((P$1)/10,0)*10,[1]Hugst!$R$4:$W$4,0))))</f>
        <v>0</v>
      </c>
      <c r="Q242" s="168">
        <f ca="1">IF($C242-Q$1&lt;År1,0,P241*(1-VLOOKUP($A242,[1]Hugst!$R$5:$W$9,MATCH(ROUNDUP((Q$1)/10,0)*10,[1]Hugst!$R$4:$W$4,0))))</f>
        <v>0</v>
      </c>
      <c r="R242" s="168">
        <f ca="1">IF($C242-R$1&lt;År1,0,Q241*(1-VLOOKUP($A242,[1]Hugst!$R$5:$W$9,MATCH(ROUNDUP((R$1)/10,0)*10,[1]Hugst!$R$4:$W$4,0))))</f>
        <v>0</v>
      </c>
      <c r="S242" s="168">
        <f ca="1">IF($C242-S$1&lt;År1,0,R241*(1-VLOOKUP($A242,[1]Hugst!$R$5:$W$9,MATCH(ROUNDUP((S$1)/10,0)*10,[1]Hugst!$R$4:$W$4,0))))</f>
        <v>0</v>
      </c>
      <c r="T242" s="168">
        <f ca="1">IF($C242-T$1&lt;År1,0,S241*(1-VLOOKUP($A242,[1]Hugst!$R$5:$W$9,MATCH(ROUNDUP((T$1)/10,0)*10,[1]Hugst!$R$4:$W$4,0))))</f>
        <v>0</v>
      </c>
      <c r="U242" s="168">
        <f ca="1">IF($C242-U$1&lt;År1,0,T241*(1-VLOOKUP($A242,[1]Hugst!$R$5:$W$9,MATCH(ROUNDUP((U$1)/10,0)*10,[1]Hugst!$R$4:$W$4,0))))</f>
        <v>0</v>
      </c>
      <c r="V242" s="168">
        <f ca="1">IF($C242-V$1&lt;År1,0,U241*(1-VLOOKUP($A242,[1]Hugst!$R$5:$W$9,MATCH(ROUNDUP((V$1)/10,0)*10,[1]Hugst!$R$4:$W$4,0))))</f>
        <v>0</v>
      </c>
      <c r="W242" s="168">
        <f ca="1">IF($C242-W$1&lt;År1,0,V241*(1-VLOOKUP($A242,[1]Hugst!$R$5:$W$9,MATCH(ROUNDUP((W$1)/10,0)*10,[1]Hugst!$R$4:$W$4,0))))</f>
        <v>0</v>
      </c>
      <c r="X242" s="168">
        <f ca="1">IF($C242-X$1&lt;År1,0,W241*(1-VLOOKUP($A242,[1]Hugst!$R$5:$W$9,MATCH(ROUNDUP((X$1)/10,0)*10,[1]Hugst!$R$4:$W$4,0))))</f>
        <v>0</v>
      </c>
      <c r="Y242" s="168">
        <f ca="1">IF($C242-Y$1&lt;År1,0,X241*(1-VLOOKUP($A242,[1]Hugst!$R$5:$W$9,MATCH(ROUNDUP((Y$1)/10,0)*10,[1]Hugst!$R$4:$W$4,0))))</f>
        <v>0</v>
      </c>
      <c r="Z242" s="168">
        <f ca="1">IF($C242-Z$1&lt;År1,0,Y241*(1-VLOOKUP($A242,[1]Hugst!$R$5:$W$9,MATCH(ROUNDUP((Z$1)/10,0)*10,[1]Hugst!$R$4:$W$4,0))))</f>
        <v>0</v>
      </c>
      <c r="AA242" s="168">
        <f ca="1">IF($C242-AA$1&lt;År1,0,Z241*(1-VLOOKUP($A242,[1]Hugst!$R$5:$W$9,MATCH(ROUNDUP((AA$1)/10,0)*10,[1]Hugst!$R$4:$W$4,0))))</f>
        <v>0</v>
      </c>
      <c r="AB242" s="168">
        <f ca="1">IF($C242-AB$1&lt;År1,0,AA241*(1-VLOOKUP($A242,[1]Hugst!$R$5:$W$9,MATCH(ROUNDUP((AB$1)/10,0)*10,[1]Hugst!$R$4:$W$4,0))))</f>
        <v>0</v>
      </c>
      <c r="AC242" s="168">
        <f ca="1">IF($C242-AC$1&lt;År1,0,AB241*(1-VLOOKUP($A242,[1]Hugst!$R$5:$W$9,MATCH(ROUNDUP((AC$1)/10,0)*10,[1]Hugst!$R$4:$W$4,0))))</f>
        <v>0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*VLOOKUP(A243,Skovbrug!$A$13:$D$17,IF('Skovbrug-alder'!C243&lt;=År2,3,4),FALSE)-IF(C243&gt;2020,SUM(INDEX($C$1:$D$311,MATCH(1,(2020=$C$1:$C$311)*(B243=$B$1:$B$311)*(A243=$A$1:$A$311),0),2):D242),0))</f>
        <v>0</v>
      </c>
      <c r="E243" s="168">
        <f t="shared" ca="1" si="5"/>
        <v>0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8">
        <f ca="1">IF($C243-G$1&lt;År1,0,F242*(1-VLOOKUP($A243,[1]Hugst!$R$5:$W$9,MATCH(ROUNDUP((G$1)/10,0)*10,[1]Hugst!$R$4:$W$4,0))))</f>
        <v>0</v>
      </c>
      <c r="H243" s="168">
        <f ca="1">IF($C243-H$1&lt;År1,0,G242*(1-VLOOKUP($A243,[1]Hugst!$R$5:$W$9,MATCH(ROUNDUP((H$1)/10,0)*10,[1]Hugst!$R$4:$W$4,0))))</f>
        <v>0</v>
      </c>
      <c r="I243" s="168">
        <f ca="1">IF($C243-I$1&lt;År1,0,H242*(1-VLOOKUP($A243,[1]Hugst!$R$5:$W$9,MATCH(ROUNDUP((I$1)/10,0)*10,[1]Hugst!$R$4:$W$4,0))))</f>
        <v>0</v>
      </c>
      <c r="J243" s="168">
        <f ca="1">IF($C243-J$1&lt;År1,0,I242*(1-VLOOKUP($A243,[1]Hugst!$R$5:$W$9,MATCH(ROUNDUP((J$1)/10,0)*10,[1]Hugst!$R$4:$W$4,0))))</f>
        <v>0</v>
      </c>
      <c r="K243" s="168">
        <f ca="1">IF($C243-K$1&lt;År1,0,J242*(1-VLOOKUP($A243,[1]Hugst!$R$5:$W$9,MATCH(ROUNDUP((K$1)/10,0)*10,[1]Hugst!$R$4:$W$4,0))))</f>
        <v>0</v>
      </c>
      <c r="L243" s="168">
        <f ca="1">IF($C243-L$1&lt;År1,0,K242*(1-VLOOKUP($A243,[1]Hugst!$R$5:$W$9,MATCH(ROUNDUP((L$1)/10,0)*10,[1]Hugst!$R$4:$W$4,0))))</f>
        <v>0</v>
      </c>
      <c r="M243" s="168">
        <f ca="1">IF($C243-M$1&lt;År1,0,L242*(1-VLOOKUP($A243,[1]Hugst!$R$5:$W$9,MATCH(ROUNDUP((M$1)/10,0)*10,[1]Hugst!$R$4:$W$4,0))))</f>
        <v>0</v>
      </c>
      <c r="N243" s="168">
        <f ca="1">IF($C243-N$1&lt;År1,0,M242*(1-VLOOKUP($A243,[1]Hugst!$R$5:$W$9,MATCH(ROUNDUP((N$1)/10,0)*10,[1]Hugst!$R$4:$W$4,0))))</f>
        <v>0</v>
      </c>
      <c r="O243" s="168">
        <f ca="1">IF($C243-O$1&lt;År1,0,N242*(1-VLOOKUP($A243,[1]Hugst!$R$5:$W$9,MATCH(ROUNDUP((O$1)/10,0)*10,[1]Hugst!$R$4:$W$4,0))))</f>
        <v>0</v>
      </c>
      <c r="P243" s="168">
        <f ca="1">IF($C243-P$1&lt;År1,0,O242*(1-VLOOKUP($A243,[1]Hugst!$R$5:$W$9,MATCH(ROUNDUP((P$1)/10,0)*10,[1]Hugst!$R$4:$W$4,0))))</f>
        <v>0</v>
      </c>
      <c r="Q243" s="168">
        <f ca="1">IF($C243-Q$1&lt;År1,0,P242*(1-VLOOKUP($A243,[1]Hugst!$R$5:$W$9,MATCH(ROUNDUP((Q$1)/10,0)*10,[1]Hugst!$R$4:$W$4,0))))</f>
        <v>0</v>
      </c>
      <c r="R243" s="168">
        <f ca="1">IF($C243-R$1&lt;År1,0,Q242*(1-VLOOKUP($A243,[1]Hugst!$R$5:$W$9,MATCH(ROUNDUP((R$1)/10,0)*10,[1]Hugst!$R$4:$W$4,0))))</f>
        <v>0</v>
      </c>
      <c r="S243" s="168">
        <f ca="1">IF($C243-S$1&lt;År1,0,R242*(1-VLOOKUP($A243,[1]Hugst!$R$5:$W$9,MATCH(ROUNDUP((S$1)/10,0)*10,[1]Hugst!$R$4:$W$4,0))))</f>
        <v>0</v>
      </c>
      <c r="T243" s="168">
        <f ca="1">IF($C243-T$1&lt;År1,0,S242*(1-VLOOKUP($A243,[1]Hugst!$R$5:$W$9,MATCH(ROUNDUP((T$1)/10,0)*10,[1]Hugst!$R$4:$W$4,0))))</f>
        <v>0</v>
      </c>
      <c r="U243" s="168">
        <f ca="1">IF($C243-U$1&lt;År1,0,T242*(1-VLOOKUP($A243,[1]Hugst!$R$5:$W$9,MATCH(ROUNDUP((U$1)/10,0)*10,[1]Hugst!$R$4:$W$4,0))))</f>
        <v>0</v>
      </c>
      <c r="V243" s="168">
        <f ca="1">IF($C243-V$1&lt;År1,0,U242*(1-VLOOKUP($A243,[1]Hugst!$R$5:$W$9,MATCH(ROUNDUP((V$1)/10,0)*10,[1]Hugst!$R$4:$W$4,0))))</f>
        <v>0</v>
      </c>
      <c r="W243" s="168">
        <f ca="1">IF($C243-W$1&lt;År1,0,V242*(1-VLOOKUP($A243,[1]Hugst!$R$5:$W$9,MATCH(ROUNDUP((W$1)/10,0)*10,[1]Hugst!$R$4:$W$4,0))))</f>
        <v>0</v>
      </c>
      <c r="X243" s="168">
        <f ca="1">IF($C243-X$1&lt;År1,0,W242*(1-VLOOKUP($A243,[1]Hugst!$R$5:$W$9,MATCH(ROUNDUP((X$1)/10,0)*10,[1]Hugst!$R$4:$W$4,0))))</f>
        <v>0</v>
      </c>
      <c r="Y243" s="168">
        <f ca="1">IF($C243-Y$1&lt;År1,0,X242*(1-VLOOKUP($A243,[1]Hugst!$R$5:$W$9,MATCH(ROUNDUP((Y$1)/10,0)*10,[1]Hugst!$R$4:$W$4,0))))</f>
        <v>0</v>
      </c>
      <c r="Z243" s="168">
        <f ca="1">IF($C243-Z$1&lt;År1,0,Y242*(1-VLOOKUP($A243,[1]Hugst!$R$5:$W$9,MATCH(ROUNDUP((Z$1)/10,0)*10,[1]Hugst!$R$4:$W$4,0))))</f>
        <v>0</v>
      </c>
      <c r="AA243" s="168">
        <f ca="1">IF($C243-AA$1&lt;År1,0,Z242*(1-VLOOKUP($A243,[1]Hugst!$R$5:$W$9,MATCH(ROUNDUP((AA$1)/10,0)*10,[1]Hugst!$R$4:$W$4,0))))</f>
        <v>0</v>
      </c>
      <c r="AB243" s="168">
        <f ca="1">IF($C243-AB$1&lt;År1,0,AA242*(1-VLOOKUP($A243,[1]Hugst!$R$5:$W$9,MATCH(ROUNDUP((AB$1)/10,0)*10,[1]Hugst!$R$4:$W$4,0))))</f>
        <v>0</v>
      </c>
      <c r="AC243" s="168">
        <f ca="1">IF($C243-AC$1&lt;År1,0,AB242*(1-VLOOKUP($A243,[1]Hugst!$R$5:$W$9,MATCH(ROUNDUP((AC$1)/10,0)*10,[1]Hugst!$R$4:$W$4,0))))</f>
        <v>0</v>
      </c>
      <c r="AD243" s="168">
        <f ca="1">IF($C243-AD$1&lt;År1,0,AC242*(1-VLOOKUP($A243,[1]Hugst!$R$5:$W$9,MATCH(ROUNDUP((AD$1)/10,0)*10,[1]Hugst!$R$4:$W$4,0))))</f>
        <v>0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*VLOOKUP(A244,Skovbrug!$A$13:$D$17,IF('Skovbrug-alder'!C244&lt;=År2,3,4),FALSE)-IF(C244&gt;2020,SUM(INDEX($C$1:$D$311,MATCH(1,(2020=$C$1:$C$311)*(B244=$B$1:$B$311)*(A244=$A$1:$A$311),0),2):D243),0))</f>
        <v>0</v>
      </c>
      <c r="E244" s="168">
        <f t="shared" ca="1" si="5"/>
        <v>0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8">
        <f ca="1">IF($C244-G$1&lt;År1,0,F243*(1-VLOOKUP($A244,[1]Hugst!$R$5:$W$9,MATCH(ROUNDUP((G$1)/10,0)*10,[1]Hugst!$R$4:$W$4,0))))</f>
        <v>0</v>
      </c>
      <c r="H244" s="168">
        <f ca="1">IF($C244-H$1&lt;År1,0,G243*(1-VLOOKUP($A244,[1]Hugst!$R$5:$W$9,MATCH(ROUNDUP((H$1)/10,0)*10,[1]Hugst!$R$4:$W$4,0))))</f>
        <v>0</v>
      </c>
      <c r="I244" s="168">
        <f ca="1">IF($C244-I$1&lt;År1,0,H243*(1-VLOOKUP($A244,[1]Hugst!$R$5:$W$9,MATCH(ROUNDUP((I$1)/10,0)*10,[1]Hugst!$R$4:$W$4,0))))</f>
        <v>0</v>
      </c>
      <c r="J244" s="168">
        <f ca="1">IF($C244-J$1&lt;År1,0,I243*(1-VLOOKUP($A244,[1]Hugst!$R$5:$W$9,MATCH(ROUNDUP((J$1)/10,0)*10,[1]Hugst!$R$4:$W$4,0))))</f>
        <v>0</v>
      </c>
      <c r="K244" s="168">
        <f ca="1">IF($C244-K$1&lt;År1,0,J243*(1-VLOOKUP($A244,[1]Hugst!$R$5:$W$9,MATCH(ROUNDUP((K$1)/10,0)*10,[1]Hugst!$R$4:$W$4,0))))</f>
        <v>0</v>
      </c>
      <c r="L244" s="168">
        <f ca="1">IF($C244-L$1&lt;År1,0,K243*(1-VLOOKUP($A244,[1]Hugst!$R$5:$W$9,MATCH(ROUNDUP((L$1)/10,0)*10,[1]Hugst!$R$4:$W$4,0))))</f>
        <v>0</v>
      </c>
      <c r="M244" s="168">
        <f ca="1">IF($C244-M$1&lt;År1,0,L243*(1-VLOOKUP($A244,[1]Hugst!$R$5:$W$9,MATCH(ROUNDUP((M$1)/10,0)*10,[1]Hugst!$R$4:$W$4,0))))</f>
        <v>0</v>
      </c>
      <c r="N244" s="168">
        <f ca="1">IF($C244-N$1&lt;År1,0,M243*(1-VLOOKUP($A244,[1]Hugst!$R$5:$W$9,MATCH(ROUNDUP((N$1)/10,0)*10,[1]Hugst!$R$4:$W$4,0))))</f>
        <v>0</v>
      </c>
      <c r="O244" s="168">
        <f ca="1">IF($C244-O$1&lt;År1,0,N243*(1-VLOOKUP($A244,[1]Hugst!$R$5:$W$9,MATCH(ROUNDUP((O$1)/10,0)*10,[1]Hugst!$R$4:$W$4,0))))</f>
        <v>0</v>
      </c>
      <c r="P244" s="168">
        <f ca="1">IF($C244-P$1&lt;År1,0,O243*(1-VLOOKUP($A244,[1]Hugst!$R$5:$W$9,MATCH(ROUNDUP((P$1)/10,0)*10,[1]Hugst!$R$4:$W$4,0))))</f>
        <v>0</v>
      </c>
      <c r="Q244" s="168">
        <f ca="1">IF($C244-Q$1&lt;År1,0,P243*(1-VLOOKUP($A244,[1]Hugst!$R$5:$W$9,MATCH(ROUNDUP((Q$1)/10,0)*10,[1]Hugst!$R$4:$W$4,0))))</f>
        <v>0</v>
      </c>
      <c r="R244" s="168">
        <f ca="1">IF($C244-R$1&lt;År1,0,Q243*(1-VLOOKUP($A244,[1]Hugst!$R$5:$W$9,MATCH(ROUNDUP((R$1)/10,0)*10,[1]Hugst!$R$4:$W$4,0))))</f>
        <v>0</v>
      </c>
      <c r="S244" s="168">
        <f ca="1">IF($C244-S$1&lt;År1,0,R243*(1-VLOOKUP($A244,[1]Hugst!$R$5:$W$9,MATCH(ROUNDUP((S$1)/10,0)*10,[1]Hugst!$R$4:$W$4,0))))</f>
        <v>0</v>
      </c>
      <c r="T244" s="168">
        <f ca="1">IF($C244-T$1&lt;År1,0,S243*(1-VLOOKUP($A244,[1]Hugst!$R$5:$W$9,MATCH(ROUNDUP((T$1)/10,0)*10,[1]Hugst!$R$4:$W$4,0))))</f>
        <v>0</v>
      </c>
      <c r="U244" s="168">
        <f ca="1">IF($C244-U$1&lt;År1,0,T243*(1-VLOOKUP($A244,[1]Hugst!$R$5:$W$9,MATCH(ROUNDUP((U$1)/10,0)*10,[1]Hugst!$R$4:$W$4,0))))</f>
        <v>0</v>
      </c>
      <c r="V244" s="168">
        <f ca="1">IF($C244-V$1&lt;År1,0,U243*(1-VLOOKUP($A244,[1]Hugst!$R$5:$W$9,MATCH(ROUNDUP((V$1)/10,0)*10,[1]Hugst!$R$4:$W$4,0))))</f>
        <v>0</v>
      </c>
      <c r="W244" s="168">
        <f ca="1">IF($C244-W$1&lt;År1,0,V243*(1-VLOOKUP($A244,[1]Hugst!$R$5:$W$9,MATCH(ROUNDUP((W$1)/10,0)*10,[1]Hugst!$R$4:$W$4,0))))</f>
        <v>0</v>
      </c>
      <c r="X244" s="168">
        <f ca="1">IF($C244-X$1&lt;År1,0,W243*(1-VLOOKUP($A244,[1]Hugst!$R$5:$W$9,MATCH(ROUNDUP((X$1)/10,0)*10,[1]Hugst!$R$4:$W$4,0))))</f>
        <v>0</v>
      </c>
      <c r="Y244" s="168">
        <f ca="1">IF($C244-Y$1&lt;År1,0,X243*(1-VLOOKUP($A244,[1]Hugst!$R$5:$W$9,MATCH(ROUNDUP((Y$1)/10,0)*10,[1]Hugst!$R$4:$W$4,0))))</f>
        <v>0</v>
      </c>
      <c r="Z244" s="168">
        <f ca="1">IF($C244-Z$1&lt;År1,0,Y243*(1-VLOOKUP($A244,[1]Hugst!$R$5:$W$9,MATCH(ROUNDUP((Z$1)/10,0)*10,[1]Hugst!$R$4:$W$4,0))))</f>
        <v>0</v>
      </c>
      <c r="AA244" s="168">
        <f ca="1">IF($C244-AA$1&lt;År1,0,Z243*(1-VLOOKUP($A244,[1]Hugst!$R$5:$W$9,MATCH(ROUNDUP((AA$1)/10,0)*10,[1]Hugst!$R$4:$W$4,0))))</f>
        <v>0</v>
      </c>
      <c r="AB244" s="168">
        <f ca="1">IF($C244-AB$1&lt;År1,0,AA243*(1-VLOOKUP($A244,[1]Hugst!$R$5:$W$9,MATCH(ROUNDUP((AB$1)/10,0)*10,[1]Hugst!$R$4:$W$4,0))))</f>
        <v>0</v>
      </c>
      <c r="AC244" s="168">
        <f ca="1">IF($C244-AC$1&lt;År1,0,AB243*(1-VLOOKUP($A244,[1]Hugst!$R$5:$W$9,MATCH(ROUNDUP((AC$1)/10,0)*10,[1]Hugst!$R$4:$W$4,0))))</f>
        <v>0</v>
      </c>
      <c r="AD244" s="168">
        <f ca="1">IF($C244-AD$1&lt;År1,0,AC243*(1-VLOOKUP($A244,[1]Hugst!$R$5:$W$9,MATCH(ROUNDUP((AD$1)/10,0)*10,[1]Hugst!$R$4:$W$4,0))))</f>
        <v>0</v>
      </c>
      <c r="AE244" s="168">
        <f ca="1">IF($C244-AE$1&lt;År1,0,AD243*(1-VLOOKUP($A244,[1]Hugst!$R$5:$W$9,MATCH(ROUNDUP((AE$1)/10,0)*10,[1]Hugst!$R$4:$W$4,0))))</f>
        <v>0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*VLOOKUP(A245,Skovbrug!$A$13:$D$17,IF('Skovbrug-alder'!C245&lt;=År2,3,4),FALSE)-IF(C245&gt;2020,SUM(INDEX($C$1:$D$311,MATCH(1,(2020=$C$1:$C$311)*(B245=$B$1:$B$311)*(A245=$A$1:$A$311),0),2):D244),0))</f>
        <v>0</v>
      </c>
      <c r="E245" s="168">
        <f t="shared" ca="1" si="5"/>
        <v>0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8">
        <f ca="1">IF($C245-G$1&lt;År1,0,F244*(1-VLOOKUP($A245,[1]Hugst!$R$5:$W$9,MATCH(ROUNDUP((G$1)/10,0)*10,[1]Hugst!$R$4:$W$4,0))))</f>
        <v>0</v>
      </c>
      <c r="H245" s="168">
        <f ca="1">IF($C245-H$1&lt;År1,0,G244*(1-VLOOKUP($A245,[1]Hugst!$R$5:$W$9,MATCH(ROUNDUP((H$1)/10,0)*10,[1]Hugst!$R$4:$W$4,0))))</f>
        <v>0</v>
      </c>
      <c r="I245" s="168">
        <f ca="1">IF($C245-I$1&lt;År1,0,H244*(1-VLOOKUP($A245,[1]Hugst!$R$5:$W$9,MATCH(ROUNDUP((I$1)/10,0)*10,[1]Hugst!$R$4:$W$4,0))))</f>
        <v>0</v>
      </c>
      <c r="J245" s="168">
        <f ca="1">IF($C245-J$1&lt;År1,0,I244*(1-VLOOKUP($A245,[1]Hugst!$R$5:$W$9,MATCH(ROUNDUP((J$1)/10,0)*10,[1]Hugst!$R$4:$W$4,0))))</f>
        <v>0</v>
      </c>
      <c r="K245" s="168">
        <f ca="1">IF($C245-K$1&lt;År1,0,J244*(1-VLOOKUP($A245,[1]Hugst!$R$5:$W$9,MATCH(ROUNDUP((K$1)/10,0)*10,[1]Hugst!$R$4:$W$4,0))))</f>
        <v>0</v>
      </c>
      <c r="L245" s="168">
        <f ca="1">IF($C245-L$1&lt;År1,0,K244*(1-VLOOKUP($A245,[1]Hugst!$R$5:$W$9,MATCH(ROUNDUP((L$1)/10,0)*10,[1]Hugst!$R$4:$W$4,0))))</f>
        <v>0</v>
      </c>
      <c r="M245" s="168">
        <f ca="1">IF($C245-M$1&lt;År1,0,L244*(1-VLOOKUP($A245,[1]Hugst!$R$5:$W$9,MATCH(ROUNDUP((M$1)/10,0)*10,[1]Hugst!$R$4:$W$4,0))))</f>
        <v>0</v>
      </c>
      <c r="N245" s="168">
        <f ca="1">IF($C245-N$1&lt;År1,0,M244*(1-VLOOKUP($A245,[1]Hugst!$R$5:$W$9,MATCH(ROUNDUP((N$1)/10,0)*10,[1]Hugst!$R$4:$W$4,0))))</f>
        <v>0</v>
      </c>
      <c r="O245" s="168">
        <f ca="1">IF($C245-O$1&lt;År1,0,N244*(1-VLOOKUP($A245,[1]Hugst!$R$5:$W$9,MATCH(ROUNDUP((O$1)/10,0)*10,[1]Hugst!$R$4:$W$4,0))))</f>
        <v>0</v>
      </c>
      <c r="P245" s="168">
        <f ca="1">IF($C245-P$1&lt;År1,0,O244*(1-VLOOKUP($A245,[1]Hugst!$R$5:$W$9,MATCH(ROUNDUP((P$1)/10,0)*10,[1]Hugst!$R$4:$W$4,0))))</f>
        <v>0</v>
      </c>
      <c r="Q245" s="168">
        <f ca="1">IF($C245-Q$1&lt;År1,0,P244*(1-VLOOKUP($A245,[1]Hugst!$R$5:$W$9,MATCH(ROUNDUP((Q$1)/10,0)*10,[1]Hugst!$R$4:$W$4,0))))</f>
        <v>0</v>
      </c>
      <c r="R245" s="168">
        <f ca="1">IF($C245-R$1&lt;År1,0,Q244*(1-VLOOKUP($A245,[1]Hugst!$R$5:$W$9,MATCH(ROUNDUP((R$1)/10,0)*10,[1]Hugst!$R$4:$W$4,0))))</f>
        <v>0</v>
      </c>
      <c r="S245" s="168">
        <f ca="1">IF($C245-S$1&lt;År1,0,R244*(1-VLOOKUP($A245,[1]Hugst!$R$5:$W$9,MATCH(ROUNDUP((S$1)/10,0)*10,[1]Hugst!$R$4:$W$4,0))))</f>
        <v>0</v>
      </c>
      <c r="T245" s="168">
        <f ca="1">IF($C245-T$1&lt;År1,0,S244*(1-VLOOKUP($A245,[1]Hugst!$R$5:$W$9,MATCH(ROUNDUP((T$1)/10,0)*10,[1]Hugst!$R$4:$W$4,0))))</f>
        <v>0</v>
      </c>
      <c r="U245" s="168">
        <f ca="1">IF($C245-U$1&lt;År1,0,T244*(1-VLOOKUP($A245,[1]Hugst!$R$5:$W$9,MATCH(ROUNDUP((U$1)/10,0)*10,[1]Hugst!$R$4:$W$4,0))))</f>
        <v>0</v>
      </c>
      <c r="V245" s="168">
        <f ca="1">IF($C245-V$1&lt;År1,0,U244*(1-VLOOKUP($A245,[1]Hugst!$R$5:$W$9,MATCH(ROUNDUP((V$1)/10,0)*10,[1]Hugst!$R$4:$W$4,0))))</f>
        <v>0</v>
      </c>
      <c r="W245" s="168">
        <f ca="1">IF($C245-W$1&lt;År1,0,V244*(1-VLOOKUP($A245,[1]Hugst!$R$5:$W$9,MATCH(ROUNDUP((W$1)/10,0)*10,[1]Hugst!$R$4:$W$4,0))))</f>
        <v>0</v>
      </c>
      <c r="X245" s="168">
        <f ca="1">IF($C245-X$1&lt;År1,0,W244*(1-VLOOKUP($A245,[1]Hugst!$R$5:$W$9,MATCH(ROUNDUP((X$1)/10,0)*10,[1]Hugst!$R$4:$W$4,0))))</f>
        <v>0</v>
      </c>
      <c r="Y245" s="168">
        <f ca="1">IF($C245-Y$1&lt;År1,0,X244*(1-VLOOKUP($A245,[1]Hugst!$R$5:$W$9,MATCH(ROUNDUP((Y$1)/10,0)*10,[1]Hugst!$R$4:$W$4,0))))</f>
        <v>0</v>
      </c>
      <c r="Z245" s="168">
        <f ca="1">IF($C245-Z$1&lt;År1,0,Y244*(1-VLOOKUP($A245,[1]Hugst!$R$5:$W$9,MATCH(ROUNDUP((Z$1)/10,0)*10,[1]Hugst!$R$4:$W$4,0))))</f>
        <v>0</v>
      </c>
      <c r="AA245" s="168">
        <f ca="1">IF($C245-AA$1&lt;År1,0,Z244*(1-VLOOKUP($A245,[1]Hugst!$R$5:$W$9,MATCH(ROUNDUP((AA$1)/10,0)*10,[1]Hugst!$R$4:$W$4,0))))</f>
        <v>0</v>
      </c>
      <c r="AB245" s="168">
        <f ca="1">IF($C245-AB$1&lt;År1,0,AA244*(1-VLOOKUP($A245,[1]Hugst!$R$5:$W$9,MATCH(ROUNDUP((AB$1)/10,0)*10,[1]Hugst!$R$4:$W$4,0))))</f>
        <v>0</v>
      </c>
      <c r="AC245" s="168">
        <f ca="1">IF($C245-AC$1&lt;År1,0,AB244*(1-VLOOKUP($A245,[1]Hugst!$R$5:$W$9,MATCH(ROUNDUP((AC$1)/10,0)*10,[1]Hugst!$R$4:$W$4,0))))</f>
        <v>0</v>
      </c>
      <c r="AD245" s="168">
        <f ca="1">IF($C245-AD$1&lt;År1,0,AC244*(1-VLOOKUP($A245,[1]Hugst!$R$5:$W$9,MATCH(ROUNDUP((AD$1)/10,0)*10,[1]Hugst!$R$4:$W$4,0))))</f>
        <v>0</v>
      </c>
      <c r="AE245" s="168">
        <f ca="1">IF($C245-AE$1&lt;År1,0,AD244*(1-VLOOKUP($A245,[1]Hugst!$R$5:$W$9,MATCH(ROUNDUP((AE$1)/10,0)*10,[1]Hugst!$R$4:$W$4,0))))</f>
        <v>0</v>
      </c>
      <c r="AF245" s="168">
        <f ca="1">IF($C245-AF$1&lt;År1,0,AE244*(1-VLOOKUP($A245,[1]Hugst!$R$5:$W$9,MATCH(ROUNDUP((AF$1)/10,0)*10,[1]Hugst!$R$4:$W$4,0))))</f>
        <v>0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*VLOOKUP(A246,Skovbrug!$A$13:$D$17,IF('Skovbrug-alder'!C246&lt;=År2,3,4),FALSE)-IF(C246&gt;2020,SUM(INDEX($C$1:$D$311,MATCH(1,(2020=$C$1:$C$311)*(B246=$B$1:$B$311)*(A246=$A$1:$A$311),0),2):D245),0))</f>
        <v>0</v>
      </c>
      <c r="E246" s="168">
        <f t="shared" ca="1" si="5"/>
        <v>0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8">
        <f ca="1">IF($C246-G$1&lt;År1,0,F245*(1-VLOOKUP($A246,[1]Hugst!$R$5:$W$9,MATCH(ROUNDUP((G$1)/10,0)*10,[1]Hugst!$R$4:$W$4,0))))</f>
        <v>0</v>
      </c>
      <c r="H246" s="168">
        <f ca="1">IF($C246-H$1&lt;År1,0,G245*(1-VLOOKUP($A246,[1]Hugst!$R$5:$W$9,MATCH(ROUNDUP((H$1)/10,0)*10,[1]Hugst!$R$4:$W$4,0))))</f>
        <v>0</v>
      </c>
      <c r="I246" s="168">
        <f ca="1">IF($C246-I$1&lt;År1,0,H245*(1-VLOOKUP($A246,[1]Hugst!$R$5:$W$9,MATCH(ROUNDUP((I$1)/10,0)*10,[1]Hugst!$R$4:$W$4,0))))</f>
        <v>0</v>
      </c>
      <c r="J246" s="168">
        <f ca="1">IF($C246-J$1&lt;År1,0,I245*(1-VLOOKUP($A246,[1]Hugst!$R$5:$W$9,MATCH(ROUNDUP((J$1)/10,0)*10,[1]Hugst!$R$4:$W$4,0))))</f>
        <v>0</v>
      </c>
      <c r="K246" s="168">
        <f ca="1">IF($C246-K$1&lt;År1,0,J245*(1-VLOOKUP($A246,[1]Hugst!$R$5:$W$9,MATCH(ROUNDUP((K$1)/10,0)*10,[1]Hugst!$R$4:$W$4,0))))</f>
        <v>0</v>
      </c>
      <c r="L246" s="168">
        <f ca="1">IF($C246-L$1&lt;År1,0,K245*(1-VLOOKUP($A246,[1]Hugst!$R$5:$W$9,MATCH(ROUNDUP((L$1)/10,0)*10,[1]Hugst!$R$4:$W$4,0))))</f>
        <v>0</v>
      </c>
      <c r="M246" s="168">
        <f ca="1">IF($C246-M$1&lt;År1,0,L245*(1-VLOOKUP($A246,[1]Hugst!$R$5:$W$9,MATCH(ROUNDUP((M$1)/10,0)*10,[1]Hugst!$R$4:$W$4,0))))</f>
        <v>0</v>
      </c>
      <c r="N246" s="168">
        <f ca="1">IF($C246-N$1&lt;År1,0,M245*(1-VLOOKUP($A246,[1]Hugst!$R$5:$W$9,MATCH(ROUNDUP((N$1)/10,0)*10,[1]Hugst!$R$4:$W$4,0))))</f>
        <v>0</v>
      </c>
      <c r="O246" s="168">
        <f ca="1">IF($C246-O$1&lt;År1,0,N245*(1-VLOOKUP($A246,[1]Hugst!$R$5:$W$9,MATCH(ROUNDUP((O$1)/10,0)*10,[1]Hugst!$R$4:$W$4,0))))</f>
        <v>0</v>
      </c>
      <c r="P246" s="168">
        <f ca="1">IF($C246-P$1&lt;År1,0,O245*(1-VLOOKUP($A246,[1]Hugst!$R$5:$W$9,MATCH(ROUNDUP((P$1)/10,0)*10,[1]Hugst!$R$4:$W$4,0))))</f>
        <v>0</v>
      </c>
      <c r="Q246" s="168">
        <f ca="1">IF($C246-Q$1&lt;År1,0,P245*(1-VLOOKUP($A246,[1]Hugst!$R$5:$W$9,MATCH(ROUNDUP((Q$1)/10,0)*10,[1]Hugst!$R$4:$W$4,0))))</f>
        <v>0</v>
      </c>
      <c r="R246" s="168">
        <f ca="1">IF($C246-R$1&lt;År1,0,Q245*(1-VLOOKUP($A246,[1]Hugst!$R$5:$W$9,MATCH(ROUNDUP((R$1)/10,0)*10,[1]Hugst!$R$4:$W$4,0))))</f>
        <v>0</v>
      </c>
      <c r="S246" s="168">
        <f ca="1">IF($C246-S$1&lt;År1,0,R245*(1-VLOOKUP($A246,[1]Hugst!$R$5:$W$9,MATCH(ROUNDUP((S$1)/10,0)*10,[1]Hugst!$R$4:$W$4,0))))</f>
        <v>0</v>
      </c>
      <c r="T246" s="168">
        <f ca="1">IF($C246-T$1&lt;År1,0,S245*(1-VLOOKUP($A246,[1]Hugst!$R$5:$W$9,MATCH(ROUNDUP((T$1)/10,0)*10,[1]Hugst!$R$4:$W$4,0))))</f>
        <v>0</v>
      </c>
      <c r="U246" s="168">
        <f ca="1">IF($C246-U$1&lt;År1,0,T245*(1-VLOOKUP($A246,[1]Hugst!$R$5:$W$9,MATCH(ROUNDUP((U$1)/10,0)*10,[1]Hugst!$R$4:$W$4,0))))</f>
        <v>0</v>
      </c>
      <c r="V246" s="168">
        <f ca="1">IF($C246-V$1&lt;År1,0,U245*(1-VLOOKUP($A246,[1]Hugst!$R$5:$W$9,MATCH(ROUNDUP((V$1)/10,0)*10,[1]Hugst!$R$4:$W$4,0))))</f>
        <v>0</v>
      </c>
      <c r="W246" s="168">
        <f ca="1">IF($C246-W$1&lt;År1,0,V245*(1-VLOOKUP($A246,[1]Hugst!$R$5:$W$9,MATCH(ROUNDUP((W$1)/10,0)*10,[1]Hugst!$R$4:$W$4,0))))</f>
        <v>0</v>
      </c>
      <c r="X246" s="168">
        <f ca="1">IF($C246-X$1&lt;År1,0,W245*(1-VLOOKUP($A246,[1]Hugst!$R$5:$W$9,MATCH(ROUNDUP((X$1)/10,0)*10,[1]Hugst!$R$4:$W$4,0))))</f>
        <v>0</v>
      </c>
      <c r="Y246" s="168">
        <f ca="1">IF($C246-Y$1&lt;År1,0,X245*(1-VLOOKUP($A246,[1]Hugst!$R$5:$W$9,MATCH(ROUNDUP((Y$1)/10,0)*10,[1]Hugst!$R$4:$W$4,0))))</f>
        <v>0</v>
      </c>
      <c r="Z246" s="168">
        <f ca="1">IF($C246-Z$1&lt;År1,0,Y245*(1-VLOOKUP($A246,[1]Hugst!$R$5:$W$9,MATCH(ROUNDUP((Z$1)/10,0)*10,[1]Hugst!$R$4:$W$4,0))))</f>
        <v>0</v>
      </c>
      <c r="AA246" s="168">
        <f ca="1">IF($C246-AA$1&lt;År1,0,Z245*(1-VLOOKUP($A246,[1]Hugst!$R$5:$W$9,MATCH(ROUNDUP((AA$1)/10,0)*10,[1]Hugst!$R$4:$W$4,0))))</f>
        <v>0</v>
      </c>
      <c r="AB246" s="168">
        <f ca="1">IF($C246-AB$1&lt;År1,0,AA245*(1-VLOOKUP($A246,[1]Hugst!$R$5:$W$9,MATCH(ROUNDUP((AB$1)/10,0)*10,[1]Hugst!$R$4:$W$4,0))))</f>
        <v>0</v>
      </c>
      <c r="AC246" s="168">
        <f ca="1">IF($C246-AC$1&lt;År1,0,AB245*(1-VLOOKUP($A246,[1]Hugst!$R$5:$W$9,MATCH(ROUNDUP((AC$1)/10,0)*10,[1]Hugst!$R$4:$W$4,0))))</f>
        <v>0</v>
      </c>
      <c r="AD246" s="168">
        <f ca="1">IF($C246-AD$1&lt;År1,0,AC245*(1-VLOOKUP($A246,[1]Hugst!$R$5:$W$9,MATCH(ROUNDUP((AD$1)/10,0)*10,[1]Hugst!$R$4:$W$4,0))))</f>
        <v>0</v>
      </c>
      <c r="AE246" s="168">
        <f ca="1">IF($C246-AE$1&lt;År1,0,AD245*(1-VLOOKUP($A246,[1]Hugst!$R$5:$W$9,MATCH(ROUNDUP((AE$1)/10,0)*10,[1]Hugst!$R$4:$W$4,0))))</f>
        <v>0</v>
      </c>
      <c r="AF246" s="168">
        <f ca="1">IF($C246-AF$1&lt;År1,0,AE245*(1-VLOOKUP($A246,[1]Hugst!$R$5:$W$9,MATCH(ROUNDUP((AF$1)/10,0)*10,[1]Hugst!$R$4:$W$4,0))))</f>
        <v>0</v>
      </c>
      <c r="AG246" s="168">
        <f ca="1">IF($C246-AG$1&lt;År1,0,AF245*(1-VLOOKUP($A246,[1]Hugst!$R$5:$W$9,MATCH(ROUNDUP((AG$1)/10,0)*10,[1]Hugst!$R$4:$W$4,0))))</f>
        <v>0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*VLOOKUP(A247,Skovbrug!$A$13:$D$17,IF('Skovbrug-alder'!C247&lt;=År2,3,4),FALSE)-IF(C247&gt;2020,SUM(INDEX($C$1:$D$311,MATCH(1,(2020=$C$1:$C$311)*(B247=$B$1:$B$311)*(A247=$A$1:$A$311),0),2):D246),0))</f>
        <v>0</v>
      </c>
      <c r="E247" s="168">
        <f t="shared" ca="1" si="5"/>
        <v>0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8">
        <f ca="1">IF($C247-G$1&lt;År1,0,F246*(1-VLOOKUP($A247,[1]Hugst!$R$5:$W$9,MATCH(ROUNDUP((G$1)/10,0)*10,[1]Hugst!$R$4:$W$4,0))))</f>
        <v>0</v>
      </c>
      <c r="H247" s="168">
        <f ca="1">IF($C247-H$1&lt;År1,0,G246*(1-VLOOKUP($A247,[1]Hugst!$R$5:$W$9,MATCH(ROUNDUP((H$1)/10,0)*10,[1]Hugst!$R$4:$W$4,0))))</f>
        <v>0</v>
      </c>
      <c r="I247" s="168">
        <f ca="1">IF($C247-I$1&lt;År1,0,H246*(1-VLOOKUP($A247,[1]Hugst!$R$5:$W$9,MATCH(ROUNDUP((I$1)/10,0)*10,[1]Hugst!$R$4:$W$4,0))))</f>
        <v>0</v>
      </c>
      <c r="J247" s="168">
        <f ca="1">IF($C247-J$1&lt;År1,0,I246*(1-VLOOKUP($A247,[1]Hugst!$R$5:$W$9,MATCH(ROUNDUP((J$1)/10,0)*10,[1]Hugst!$R$4:$W$4,0))))</f>
        <v>0</v>
      </c>
      <c r="K247" s="168">
        <f ca="1">IF($C247-K$1&lt;År1,0,J246*(1-VLOOKUP($A247,[1]Hugst!$R$5:$W$9,MATCH(ROUNDUP((K$1)/10,0)*10,[1]Hugst!$R$4:$W$4,0))))</f>
        <v>0</v>
      </c>
      <c r="L247" s="168">
        <f ca="1">IF($C247-L$1&lt;År1,0,K246*(1-VLOOKUP($A247,[1]Hugst!$R$5:$W$9,MATCH(ROUNDUP((L$1)/10,0)*10,[1]Hugst!$R$4:$W$4,0))))</f>
        <v>0</v>
      </c>
      <c r="M247" s="168">
        <f ca="1">IF($C247-M$1&lt;År1,0,L246*(1-VLOOKUP($A247,[1]Hugst!$R$5:$W$9,MATCH(ROUNDUP((M$1)/10,0)*10,[1]Hugst!$R$4:$W$4,0))))</f>
        <v>0</v>
      </c>
      <c r="N247" s="168">
        <f ca="1">IF($C247-N$1&lt;År1,0,M246*(1-VLOOKUP($A247,[1]Hugst!$R$5:$W$9,MATCH(ROUNDUP((N$1)/10,0)*10,[1]Hugst!$R$4:$W$4,0))))</f>
        <v>0</v>
      </c>
      <c r="O247" s="168">
        <f ca="1">IF($C247-O$1&lt;År1,0,N246*(1-VLOOKUP($A247,[1]Hugst!$R$5:$W$9,MATCH(ROUNDUP((O$1)/10,0)*10,[1]Hugst!$R$4:$W$4,0))))</f>
        <v>0</v>
      </c>
      <c r="P247" s="168">
        <f ca="1">IF($C247-P$1&lt;År1,0,O246*(1-VLOOKUP($A247,[1]Hugst!$R$5:$W$9,MATCH(ROUNDUP((P$1)/10,0)*10,[1]Hugst!$R$4:$W$4,0))))</f>
        <v>0</v>
      </c>
      <c r="Q247" s="168">
        <f ca="1">IF($C247-Q$1&lt;År1,0,P246*(1-VLOOKUP($A247,[1]Hugst!$R$5:$W$9,MATCH(ROUNDUP((Q$1)/10,0)*10,[1]Hugst!$R$4:$W$4,0))))</f>
        <v>0</v>
      </c>
      <c r="R247" s="168">
        <f ca="1">IF($C247-R$1&lt;År1,0,Q246*(1-VLOOKUP($A247,[1]Hugst!$R$5:$W$9,MATCH(ROUNDUP((R$1)/10,0)*10,[1]Hugst!$R$4:$W$4,0))))</f>
        <v>0</v>
      </c>
      <c r="S247" s="168">
        <f ca="1">IF($C247-S$1&lt;År1,0,R246*(1-VLOOKUP($A247,[1]Hugst!$R$5:$W$9,MATCH(ROUNDUP((S$1)/10,0)*10,[1]Hugst!$R$4:$W$4,0))))</f>
        <v>0</v>
      </c>
      <c r="T247" s="168">
        <f ca="1">IF($C247-T$1&lt;År1,0,S246*(1-VLOOKUP($A247,[1]Hugst!$R$5:$W$9,MATCH(ROUNDUP((T$1)/10,0)*10,[1]Hugst!$R$4:$W$4,0))))</f>
        <v>0</v>
      </c>
      <c r="U247" s="168">
        <f ca="1">IF($C247-U$1&lt;År1,0,T246*(1-VLOOKUP($A247,[1]Hugst!$R$5:$W$9,MATCH(ROUNDUP((U$1)/10,0)*10,[1]Hugst!$R$4:$W$4,0))))</f>
        <v>0</v>
      </c>
      <c r="V247" s="168">
        <f ca="1">IF($C247-V$1&lt;År1,0,U246*(1-VLOOKUP($A247,[1]Hugst!$R$5:$W$9,MATCH(ROUNDUP((V$1)/10,0)*10,[1]Hugst!$R$4:$W$4,0))))</f>
        <v>0</v>
      </c>
      <c r="W247" s="168">
        <f ca="1">IF($C247-W$1&lt;År1,0,V246*(1-VLOOKUP($A247,[1]Hugst!$R$5:$W$9,MATCH(ROUNDUP((W$1)/10,0)*10,[1]Hugst!$R$4:$W$4,0))))</f>
        <v>0</v>
      </c>
      <c r="X247" s="168">
        <f ca="1">IF($C247-X$1&lt;År1,0,W246*(1-VLOOKUP($A247,[1]Hugst!$R$5:$W$9,MATCH(ROUNDUP((X$1)/10,0)*10,[1]Hugst!$R$4:$W$4,0))))</f>
        <v>0</v>
      </c>
      <c r="Y247" s="168">
        <f ca="1">IF($C247-Y$1&lt;År1,0,X246*(1-VLOOKUP($A247,[1]Hugst!$R$5:$W$9,MATCH(ROUNDUP((Y$1)/10,0)*10,[1]Hugst!$R$4:$W$4,0))))</f>
        <v>0</v>
      </c>
      <c r="Z247" s="168">
        <f ca="1">IF($C247-Z$1&lt;År1,0,Y246*(1-VLOOKUP($A247,[1]Hugst!$R$5:$W$9,MATCH(ROUNDUP((Z$1)/10,0)*10,[1]Hugst!$R$4:$W$4,0))))</f>
        <v>0</v>
      </c>
      <c r="AA247" s="168">
        <f ca="1">IF($C247-AA$1&lt;År1,0,Z246*(1-VLOOKUP($A247,[1]Hugst!$R$5:$W$9,MATCH(ROUNDUP((AA$1)/10,0)*10,[1]Hugst!$R$4:$W$4,0))))</f>
        <v>0</v>
      </c>
      <c r="AB247" s="168">
        <f ca="1">IF($C247-AB$1&lt;År1,0,AA246*(1-VLOOKUP($A247,[1]Hugst!$R$5:$W$9,MATCH(ROUNDUP((AB$1)/10,0)*10,[1]Hugst!$R$4:$W$4,0))))</f>
        <v>0</v>
      </c>
      <c r="AC247" s="168">
        <f ca="1">IF($C247-AC$1&lt;År1,0,AB246*(1-VLOOKUP($A247,[1]Hugst!$R$5:$W$9,MATCH(ROUNDUP((AC$1)/10,0)*10,[1]Hugst!$R$4:$W$4,0))))</f>
        <v>0</v>
      </c>
      <c r="AD247" s="168">
        <f ca="1">IF($C247-AD$1&lt;År1,0,AC246*(1-VLOOKUP($A247,[1]Hugst!$R$5:$W$9,MATCH(ROUNDUP((AD$1)/10,0)*10,[1]Hugst!$R$4:$W$4,0))))</f>
        <v>0</v>
      </c>
      <c r="AE247" s="168">
        <f ca="1">IF($C247-AE$1&lt;År1,0,AD246*(1-VLOOKUP($A247,[1]Hugst!$R$5:$W$9,MATCH(ROUNDUP((AE$1)/10,0)*10,[1]Hugst!$R$4:$W$4,0))))</f>
        <v>0</v>
      </c>
      <c r="AF247" s="168">
        <f ca="1">IF($C247-AF$1&lt;År1,0,AE246*(1-VLOOKUP($A247,[1]Hugst!$R$5:$W$9,MATCH(ROUNDUP((AF$1)/10,0)*10,[1]Hugst!$R$4:$W$4,0))))</f>
        <v>0</v>
      </c>
      <c r="AG247" s="168">
        <f ca="1">IF($C247-AG$1&lt;År1,0,AF246*(1-VLOOKUP($A247,[1]Hugst!$R$5:$W$9,MATCH(ROUNDUP((AG$1)/10,0)*10,[1]Hugst!$R$4:$W$4,0))))</f>
        <v>0</v>
      </c>
      <c r="AH247" s="168">
        <f ca="1">IF($C247-AH$1&lt;År1,0,AG246*(1-VLOOKUP($A247,[1]Hugst!$R$5:$W$9,MATCH(ROUNDUP((AH$1)/10,0)*10,[1]Hugst!$R$4:$W$4,0))))</f>
        <v>0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*VLOOKUP(A248,Skovbrug!$A$13:$D$17,IF('Skovbrug-alder'!C248&lt;=År2,3,4),FALSE)-IF(C248&gt;2020,SUM(INDEX($C$1:$D$311,MATCH(1,(2020=$C$1:$C$311)*(B248=$B$1:$B$311)*(A248=$A$1:$A$311),0),2):D247),0))</f>
        <v>0</v>
      </c>
      <c r="E248" s="168">
        <f t="shared" ca="1" si="5"/>
        <v>0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8">
        <f ca="1">IF($C248-G$1&lt;År1,0,F247*(1-VLOOKUP($A248,[1]Hugst!$R$5:$W$9,MATCH(ROUNDUP((G$1)/10,0)*10,[1]Hugst!$R$4:$W$4,0))))</f>
        <v>0</v>
      </c>
      <c r="H248" s="168">
        <f ca="1">IF($C248-H$1&lt;År1,0,G247*(1-VLOOKUP($A248,[1]Hugst!$R$5:$W$9,MATCH(ROUNDUP((H$1)/10,0)*10,[1]Hugst!$R$4:$W$4,0))))</f>
        <v>0</v>
      </c>
      <c r="I248" s="168">
        <f ca="1">IF($C248-I$1&lt;År1,0,H247*(1-VLOOKUP($A248,[1]Hugst!$R$5:$W$9,MATCH(ROUNDUP((I$1)/10,0)*10,[1]Hugst!$R$4:$W$4,0))))</f>
        <v>0</v>
      </c>
      <c r="J248" s="168">
        <f ca="1">IF($C248-J$1&lt;År1,0,I247*(1-VLOOKUP($A248,[1]Hugst!$R$5:$W$9,MATCH(ROUNDUP((J$1)/10,0)*10,[1]Hugst!$R$4:$W$4,0))))</f>
        <v>0</v>
      </c>
      <c r="K248" s="168">
        <f ca="1">IF($C248-K$1&lt;År1,0,J247*(1-VLOOKUP($A248,[1]Hugst!$R$5:$W$9,MATCH(ROUNDUP((K$1)/10,0)*10,[1]Hugst!$R$4:$W$4,0))))</f>
        <v>0</v>
      </c>
      <c r="L248" s="168">
        <f ca="1">IF($C248-L$1&lt;År1,0,K247*(1-VLOOKUP($A248,[1]Hugst!$R$5:$W$9,MATCH(ROUNDUP((L$1)/10,0)*10,[1]Hugst!$R$4:$W$4,0))))</f>
        <v>0</v>
      </c>
      <c r="M248" s="168">
        <f ca="1">IF($C248-M$1&lt;År1,0,L247*(1-VLOOKUP($A248,[1]Hugst!$R$5:$W$9,MATCH(ROUNDUP((M$1)/10,0)*10,[1]Hugst!$R$4:$W$4,0))))</f>
        <v>0</v>
      </c>
      <c r="N248" s="168">
        <f ca="1">IF($C248-N$1&lt;År1,0,M247*(1-VLOOKUP($A248,[1]Hugst!$R$5:$W$9,MATCH(ROUNDUP((N$1)/10,0)*10,[1]Hugst!$R$4:$W$4,0))))</f>
        <v>0</v>
      </c>
      <c r="O248" s="168">
        <f ca="1">IF($C248-O$1&lt;År1,0,N247*(1-VLOOKUP($A248,[1]Hugst!$R$5:$W$9,MATCH(ROUNDUP((O$1)/10,0)*10,[1]Hugst!$R$4:$W$4,0))))</f>
        <v>0</v>
      </c>
      <c r="P248" s="168">
        <f ca="1">IF($C248-P$1&lt;År1,0,O247*(1-VLOOKUP($A248,[1]Hugst!$R$5:$W$9,MATCH(ROUNDUP((P$1)/10,0)*10,[1]Hugst!$R$4:$W$4,0))))</f>
        <v>0</v>
      </c>
      <c r="Q248" s="168">
        <f ca="1">IF($C248-Q$1&lt;År1,0,P247*(1-VLOOKUP($A248,[1]Hugst!$R$5:$W$9,MATCH(ROUNDUP((Q$1)/10,0)*10,[1]Hugst!$R$4:$W$4,0))))</f>
        <v>0</v>
      </c>
      <c r="R248" s="168">
        <f ca="1">IF($C248-R$1&lt;År1,0,Q247*(1-VLOOKUP($A248,[1]Hugst!$R$5:$W$9,MATCH(ROUNDUP((R$1)/10,0)*10,[1]Hugst!$R$4:$W$4,0))))</f>
        <v>0</v>
      </c>
      <c r="S248" s="168">
        <f ca="1">IF($C248-S$1&lt;År1,0,R247*(1-VLOOKUP($A248,[1]Hugst!$R$5:$W$9,MATCH(ROUNDUP((S$1)/10,0)*10,[1]Hugst!$R$4:$W$4,0))))</f>
        <v>0</v>
      </c>
      <c r="T248" s="168">
        <f ca="1">IF($C248-T$1&lt;År1,0,S247*(1-VLOOKUP($A248,[1]Hugst!$R$5:$W$9,MATCH(ROUNDUP((T$1)/10,0)*10,[1]Hugst!$R$4:$W$4,0))))</f>
        <v>0</v>
      </c>
      <c r="U248" s="168">
        <f ca="1">IF($C248-U$1&lt;År1,0,T247*(1-VLOOKUP($A248,[1]Hugst!$R$5:$W$9,MATCH(ROUNDUP((U$1)/10,0)*10,[1]Hugst!$R$4:$W$4,0))))</f>
        <v>0</v>
      </c>
      <c r="V248" s="168">
        <f ca="1">IF($C248-V$1&lt;År1,0,U247*(1-VLOOKUP($A248,[1]Hugst!$R$5:$W$9,MATCH(ROUNDUP((V$1)/10,0)*10,[1]Hugst!$R$4:$W$4,0))))</f>
        <v>0</v>
      </c>
      <c r="W248" s="168">
        <f ca="1">IF($C248-W$1&lt;År1,0,V247*(1-VLOOKUP($A248,[1]Hugst!$R$5:$W$9,MATCH(ROUNDUP((W$1)/10,0)*10,[1]Hugst!$R$4:$W$4,0))))</f>
        <v>0</v>
      </c>
      <c r="X248" s="168">
        <f ca="1">IF($C248-X$1&lt;År1,0,W247*(1-VLOOKUP($A248,[1]Hugst!$R$5:$W$9,MATCH(ROUNDUP((X$1)/10,0)*10,[1]Hugst!$R$4:$W$4,0))))</f>
        <v>0</v>
      </c>
      <c r="Y248" s="168">
        <f ca="1">IF($C248-Y$1&lt;År1,0,X247*(1-VLOOKUP($A248,[1]Hugst!$R$5:$W$9,MATCH(ROUNDUP((Y$1)/10,0)*10,[1]Hugst!$R$4:$W$4,0))))</f>
        <v>0</v>
      </c>
      <c r="Z248" s="168">
        <f ca="1">IF($C248-Z$1&lt;År1,0,Y247*(1-VLOOKUP($A248,[1]Hugst!$R$5:$W$9,MATCH(ROUNDUP((Z$1)/10,0)*10,[1]Hugst!$R$4:$W$4,0))))</f>
        <v>0</v>
      </c>
      <c r="AA248" s="168">
        <f ca="1">IF($C248-AA$1&lt;År1,0,Z247*(1-VLOOKUP($A248,[1]Hugst!$R$5:$W$9,MATCH(ROUNDUP((AA$1)/10,0)*10,[1]Hugst!$R$4:$W$4,0))))</f>
        <v>0</v>
      </c>
      <c r="AB248" s="168">
        <f ca="1">IF($C248-AB$1&lt;År1,0,AA247*(1-VLOOKUP($A248,[1]Hugst!$R$5:$W$9,MATCH(ROUNDUP((AB$1)/10,0)*10,[1]Hugst!$R$4:$W$4,0))))</f>
        <v>0</v>
      </c>
      <c r="AC248" s="168">
        <f ca="1">IF($C248-AC$1&lt;År1,0,AB247*(1-VLOOKUP($A248,[1]Hugst!$R$5:$W$9,MATCH(ROUNDUP((AC$1)/10,0)*10,[1]Hugst!$R$4:$W$4,0))))</f>
        <v>0</v>
      </c>
      <c r="AD248" s="168">
        <f ca="1">IF($C248-AD$1&lt;År1,0,AC247*(1-VLOOKUP($A248,[1]Hugst!$R$5:$W$9,MATCH(ROUNDUP((AD$1)/10,0)*10,[1]Hugst!$R$4:$W$4,0))))</f>
        <v>0</v>
      </c>
      <c r="AE248" s="168">
        <f ca="1">IF($C248-AE$1&lt;År1,0,AD247*(1-VLOOKUP($A248,[1]Hugst!$R$5:$W$9,MATCH(ROUNDUP((AE$1)/10,0)*10,[1]Hugst!$R$4:$W$4,0))))</f>
        <v>0</v>
      </c>
      <c r="AF248" s="168">
        <f ca="1">IF($C248-AF$1&lt;År1,0,AE247*(1-VLOOKUP($A248,[1]Hugst!$R$5:$W$9,MATCH(ROUNDUP((AF$1)/10,0)*10,[1]Hugst!$R$4:$W$4,0))))</f>
        <v>0</v>
      </c>
      <c r="AG248" s="168">
        <f ca="1">IF($C248-AG$1&lt;År1,0,AF247*(1-VLOOKUP($A248,[1]Hugst!$R$5:$W$9,MATCH(ROUNDUP((AG$1)/10,0)*10,[1]Hugst!$R$4:$W$4,0))))</f>
        <v>0</v>
      </c>
      <c r="AH248" s="168">
        <f ca="1">IF($C248-AH$1&lt;År1,0,AG247*(1-VLOOKUP($A248,[1]Hugst!$R$5:$W$9,MATCH(ROUNDUP((AH$1)/10,0)*10,[1]Hugst!$R$4:$W$4,0))))</f>
        <v>0</v>
      </c>
      <c r="AI248" s="168">
        <f ca="1">IF($C248-AI$1&lt;År1,0,AH247*(1-VLOOKUP($A248,[1]Hugst!$R$5:$W$9,MATCH(ROUNDUP((AI$1)/10,0)*10,[1]Hugst!$R$4:$W$4,0))))</f>
        <v>0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*VLOOKUP(A249,Skovbrug!$A$13:$D$17,IF('Skovbrug-alder'!C249&lt;=År2,3,4),FALSE)-IF(C249&gt;2020,SUM(INDEX($C$1:$D$311,MATCH(1,(2020=$C$1:$C$311)*(B249=$B$1:$B$311)*(A249=$A$1:$A$311),0),2):D248),0))</f>
        <v>0</v>
      </c>
      <c r="E249" s="168">
        <f ca="1">IF(C249=2020,SUM(G249:AJ249),SUM(F248:AJ248)-SUM(G249:AJ249))</f>
        <v>0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8">
        <f ca="1">IF($C249-G$1&lt;År1,0,F248*(1-VLOOKUP($A249,[1]Hugst!$R$5:$W$9,MATCH(ROUNDUP((G$1)/10,0)*10,[1]Hugst!$R$4:$W$4,0))))</f>
        <v>0</v>
      </c>
      <c r="H249" s="168">
        <f ca="1">IF($C249-H$1&lt;År1,0,G248*(1-VLOOKUP($A249,[1]Hugst!$R$5:$W$9,MATCH(ROUNDUP((H$1)/10,0)*10,[1]Hugst!$R$4:$W$4,0))))</f>
        <v>0</v>
      </c>
      <c r="I249" s="168">
        <f ca="1">IF($C249-I$1&lt;År1,0,H248*(1-VLOOKUP($A249,[1]Hugst!$R$5:$W$9,MATCH(ROUNDUP((I$1)/10,0)*10,[1]Hugst!$R$4:$W$4,0))))</f>
        <v>0</v>
      </c>
      <c r="J249" s="168">
        <f ca="1">IF($C249-J$1&lt;År1,0,I248*(1-VLOOKUP($A249,[1]Hugst!$R$5:$W$9,MATCH(ROUNDUP((J$1)/10,0)*10,[1]Hugst!$R$4:$W$4,0))))</f>
        <v>0</v>
      </c>
      <c r="K249" s="168">
        <f ca="1">IF($C249-K$1&lt;År1,0,J248*(1-VLOOKUP($A249,[1]Hugst!$R$5:$W$9,MATCH(ROUNDUP((K$1)/10,0)*10,[1]Hugst!$R$4:$W$4,0))))</f>
        <v>0</v>
      </c>
      <c r="L249" s="168">
        <f ca="1">IF($C249-L$1&lt;År1,0,K248*(1-VLOOKUP($A249,[1]Hugst!$R$5:$W$9,MATCH(ROUNDUP((L$1)/10,0)*10,[1]Hugst!$R$4:$W$4,0))))</f>
        <v>0</v>
      </c>
      <c r="M249" s="168">
        <f ca="1">IF($C249-M$1&lt;År1,0,L248*(1-VLOOKUP($A249,[1]Hugst!$R$5:$W$9,MATCH(ROUNDUP((M$1)/10,0)*10,[1]Hugst!$R$4:$W$4,0))))</f>
        <v>0</v>
      </c>
      <c r="N249" s="168">
        <f ca="1">IF($C249-N$1&lt;År1,0,M248*(1-VLOOKUP($A249,[1]Hugst!$R$5:$W$9,MATCH(ROUNDUP((N$1)/10,0)*10,[1]Hugst!$R$4:$W$4,0))))</f>
        <v>0</v>
      </c>
      <c r="O249" s="168">
        <f ca="1">IF($C249-O$1&lt;År1,0,N248*(1-VLOOKUP($A249,[1]Hugst!$R$5:$W$9,MATCH(ROUNDUP((O$1)/10,0)*10,[1]Hugst!$R$4:$W$4,0))))</f>
        <v>0</v>
      </c>
      <c r="P249" s="168">
        <f ca="1">IF($C249-P$1&lt;År1,0,O248*(1-VLOOKUP($A249,[1]Hugst!$R$5:$W$9,MATCH(ROUNDUP((P$1)/10,0)*10,[1]Hugst!$R$4:$W$4,0))))</f>
        <v>0</v>
      </c>
      <c r="Q249" s="168">
        <f ca="1">IF($C249-Q$1&lt;År1,0,P248*(1-VLOOKUP($A249,[1]Hugst!$R$5:$W$9,MATCH(ROUNDUP((Q$1)/10,0)*10,[1]Hugst!$R$4:$W$4,0))))</f>
        <v>0</v>
      </c>
      <c r="R249" s="168">
        <f ca="1">IF($C249-R$1&lt;År1,0,Q248*(1-VLOOKUP($A249,[1]Hugst!$R$5:$W$9,MATCH(ROUNDUP((R$1)/10,0)*10,[1]Hugst!$R$4:$W$4,0))))</f>
        <v>0</v>
      </c>
      <c r="S249" s="168">
        <f ca="1">IF($C249-S$1&lt;År1,0,R248*(1-VLOOKUP($A249,[1]Hugst!$R$5:$W$9,MATCH(ROUNDUP((S$1)/10,0)*10,[1]Hugst!$R$4:$W$4,0))))</f>
        <v>0</v>
      </c>
      <c r="T249" s="168">
        <f ca="1">IF($C249-T$1&lt;År1,0,S248*(1-VLOOKUP($A249,[1]Hugst!$R$5:$W$9,MATCH(ROUNDUP((T$1)/10,0)*10,[1]Hugst!$R$4:$W$4,0))))</f>
        <v>0</v>
      </c>
      <c r="U249" s="168">
        <f ca="1">IF($C249-U$1&lt;År1,0,T248*(1-VLOOKUP($A249,[1]Hugst!$R$5:$W$9,MATCH(ROUNDUP((U$1)/10,0)*10,[1]Hugst!$R$4:$W$4,0))))</f>
        <v>0</v>
      </c>
      <c r="V249" s="168">
        <f ca="1">IF($C249-V$1&lt;År1,0,U248*(1-VLOOKUP($A249,[1]Hugst!$R$5:$W$9,MATCH(ROUNDUP((V$1)/10,0)*10,[1]Hugst!$R$4:$W$4,0))))</f>
        <v>0</v>
      </c>
      <c r="W249" s="168">
        <f ca="1">IF($C249-W$1&lt;År1,0,V248*(1-VLOOKUP($A249,[1]Hugst!$R$5:$W$9,MATCH(ROUNDUP((W$1)/10,0)*10,[1]Hugst!$R$4:$W$4,0))))</f>
        <v>0</v>
      </c>
      <c r="X249" s="168">
        <f ca="1">IF($C249-X$1&lt;År1,0,W248*(1-VLOOKUP($A249,[1]Hugst!$R$5:$W$9,MATCH(ROUNDUP((X$1)/10,0)*10,[1]Hugst!$R$4:$W$4,0))))</f>
        <v>0</v>
      </c>
      <c r="Y249" s="168">
        <f ca="1">IF($C249-Y$1&lt;År1,0,X248*(1-VLOOKUP($A249,[1]Hugst!$R$5:$W$9,MATCH(ROUNDUP((Y$1)/10,0)*10,[1]Hugst!$R$4:$W$4,0))))</f>
        <v>0</v>
      </c>
      <c r="Z249" s="168">
        <f ca="1">IF($C249-Z$1&lt;År1,0,Y248*(1-VLOOKUP($A249,[1]Hugst!$R$5:$W$9,MATCH(ROUNDUP((Z$1)/10,0)*10,[1]Hugst!$R$4:$W$4,0))))</f>
        <v>0</v>
      </c>
      <c r="AA249" s="168">
        <f ca="1">IF($C249-AA$1&lt;År1,0,Z248*(1-VLOOKUP($A249,[1]Hugst!$R$5:$W$9,MATCH(ROUNDUP((AA$1)/10,0)*10,[1]Hugst!$R$4:$W$4,0))))</f>
        <v>0</v>
      </c>
      <c r="AB249" s="168">
        <f ca="1">IF($C249-AB$1&lt;År1,0,AA248*(1-VLOOKUP($A249,[1]Hugst!$R$5:$W$9,MATCH(ROUNDUP((AB$1)/10,0)*10,[1]Hugst!$R$4:$W$4,0))))</f>
        <v>0</v>
      </c>
      <c r="AC249" s="168">
        <f ca="1">IF($C249-AC$1&lt;År1,0,AB248*(1-VLOOKUP($A249,[1]Hugst!$R$5:$W$9,MATCH(ROUNDUP((AC$1)/10,0)*10,[1]Hugst!$R$4:$W$4,0))))</f>
        <v>0</v>
      </c>
      <c r="AD249" s="168">
        <f ca="1">IF($C249-AD$1&lt;År1,0,AC248*(1-VLOOKUP($A249,[1]Hugst!$R$5:$W$9,MATCH(ROUNDUP((AD$1)/10,0)*10,[1]Hugst!$R$4:$W$4,0))))</f>
        <v>0</v>
      </c>
      <c r="AE249" s="168">
        <f ca="1">IF($C249-AE$1&lt;År1,0,AD248*(1-VLOOKUP($A249,[1]Hugst!$R$5:$W$9,MATCH(ROUNDUP((AE$1)/10,0)*10,[1]Hugst!$R$4:$W$4,0))))</f>
        <v>0</v>
      </c>
      <c r="AF249" s="168">
        <f ca="1">IF($C249-AF$1&lt;År1,0,AE248*(1-VLOOKUP($A249,[1]Hugst!$R$5:$W$9,MATCH(ROUNDUP((AF$1)/10,0)*10,[1]Hugst!$R$4:$W$4,0))))</f>
        <v>0</v>
      </c>
      <c r="AG249" s="168">
        <f ca="1">IF($C249-AG$1&lt;År1,0,AF248*(1-VLOOKUP($A249,[1]Hugst!$R$5:$W$9,MATCH(ROUNDUP((AG$1)/10,0)*10,[1]Hugst!$R$4:$W$4,0))))</f>
        <v>0</v>
      </c>
      <c r="AH249" s="168">
        <f ca="1">IF($C249-AH$1&lt;År1,0,AG248*(1-VLOOKUP($A249,[1]Hugst!$R$5:$W$9,MATCH(ROUNDUP((AH$1)/10,0)*10,[1]Hugst!$R$4:$W$4,0))))</f>
        <v>0</v>
      </c>
      <c r="AI249" s="168">
        <f ca="1">IF($C249-AI$1&lt;År1,0,AH248*(1-VLOOKUP($A249,[1]Hugst!$R$5:$W$9,MATCH(ROUNDUP((AI$1)/10,0)*10,[1]Hugst!$R$4:$W$4,0))))</f>
        <v>0</v>
      </c>
      <c r="AJ249" s="168">
        <f ca="1">IF($C249-AJ$1&lt;År1,0,AI248*(1-VLOOKUP($A249,[1]Hugst!$R$5:$W$9,MATCH(ROUNDUP((AJ$1)/10,0)*10,[1]Hugst!$R$4:$W$4,0))))</f>
        <v>0</v>
      </c>
    </row>
    <row r="250" spans="1:36" x14ac:dyDescent="0.25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*VLOOKUP(A250,Skovbrug!$A$13:$D$17,IF('Skovbrug-alder'!C250&lt;=År2,3,4),FALSE)-IF(C250&gt;2020,SUM(INDEX($C$1:$D$311,MATCH(1,(2020=$C$1:$C$311)*(B250=$B$1:$B$311)*(A250=$A$1:$A$311),0),2):D249),0)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*VLOOKUP(A251,Skovbrug!$A$13:$D$17,IF('Skovbrug-alder'!C251&lt;=År2,3,4),FALSE)-IF(C251&gt;2020,SUM(INDEX($C$1:$D$311,MATCH(1,(2020=$C$1:$C$311)*(B251=$B$1:$B$311)*(A251=$A$1:$A$311),0),2):D250),0)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*VLOOKUP(A252,Skovbrug!$A$13:$D$17,IF('Skovbrug-alder'!C252&lt;=År2,3,4),FALSE)-IF(C252&gt;2020,SUM(INDEX($C$1:$D$311,MATCH(1,(2020=$C$1:$C$311)*(B252=$B$1:$B$311)*(A252=$A$1:$A$311),0),2):D251),0)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*VLOOKUP(A253,Skovbrug!$A$13:$D$17,IF('Skovbrug-alder'!C253&lt;=År2,3,4),FALSE)-IF(C253&gt;2020,SUM(INDEX($C$1:$D$311,MATCH(1,(2020=$C$1:$C$311)*(B253=$B$1:$B$311)*(A253=$A$1:$A$311),0),2):D252),0)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*VLOOKUP(A254,Skovbrug!$A$13:$D$17,IF('Skovbrug-alder'!C254&lt;=År2,3,4),FALSE)-IF(C254&gt;2020,SUM(INDEX($C$1:$D$311,MATCH(1,(2020=$C$1:$C$311)*(B254=$B$1:$B$311)*(A254=$A$1:$A$311),0),2):D253),0)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*VLOOKUP(A255,Skovbrug!$A$13:$D$17,IF('Skovbrug-alder'!C255&lt;=År2,3,4),FALSE)-IF(C255&gt;2020,SUM(INDEX($C$1:$D$311,MATCH(1,(2020=$C$1:$C$311)*(B255=$B$1:$B$311)*(A255=$A$1:$A$311),0),2):D254),0)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*VLOOKUP(A256,Skovbrug!$A$13:$D$17,IF('Skovbrug-alder'!C256&lt;=År2,3,4),FALSE)-IF(C256&gt;2020,SUM(INDEX($C$1:$D$311,MATCH(1,(2020=$C$1:$C$311)*(B256=$B$1:$B$311)*(A256=$A$1:$A$311),0),2):D255),0)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*VLOOKUP(A257,Skovbrug!$A$13:$D$17,IF('Skovbrug-alder'!C257&lt;=År2,3,4),FALSE)-IF(C257&gt;2020,SUM(INDEX($C$1:$D$311,MATCH(1,(2020=$C$1:$C$311)*(B257=$B$1:$B$311)*(A257=$A$1:$A$311),0),2):D256),0)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*VLOOKUP(A258,Skovbrug!$A$13:$D$17,IF('Skovbrug-alder'!C258&lt;=År2,3,4),FALSE)-IF(C258&gt;2020,SUM(INDEX($C$1:$D$311,MATCH(1,(2020=$C$1:$C$311)*(B258=$B$1:$B$311)*(A258=$A$1:$A$311),0),2):D257),0)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*VLOOKUP(A259,Skovbrug!$A$13:$D$17,IF('Skovbrug-alder'!C259&lt;=År2,3,4),FALSE)-IF(C259&gt;2020,SUM(INDEX($C$1:$D$311,MATCH(1,(2020=$C$1:$C$311)*(B259=$B$1:$B$311)*(A259=$A$1:$A$311),0),2):D258),0)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*VLOOKUP(A260,Skovbrug!$A$13:$D$17,IF('Skovbrug-alder'!C260&lt;=År2,3,4),FALSE)-IF(C260&gt;2020,SUM(INDEX($C$1:$D$311,MATCH(1,(2020=$C$1:$C$311)*(B260=$B$1:$B$311)*(A260=$A$1:$A$311),0),2):D259),0)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*VLOOKUP(A261,Skovbrug!$A$13:$D$17,IF('Skovbrug-alder'!C261&lt;=År2,3,4),FALSE)-IF(C261&gt;2020,SUM(INDEX($C$1:$D$311,MATCH(1,(2020=$C$1:$C$311)*(B261=$B$1:$B$311)*(A261=$A$1:$A$311),0),2):D260),0)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*VLOOKUP(A262,Skovbrug!$A$13:$D$17,IF('Skovbrug-alder'!C262&lt;=År2,3,4),FALSE)-IF(C262&gt;2020,SUM(INDEX($C$1:$D$311,MATCH(1,(2020=$C$1:$C$311)*(B262=$B$1:$B$311)*(A262=$A$1:$A$311),0),2):D261),0)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*VLOOKUP(A263,Skovbrug!$A$13:$D$17,IF('Skovbrug-alder'!C263&lt;=År2,3,4),FALSE)-IF(C263&gt;2020,SUM(INDEX($C$1:$D$311,MATCH(1,(2020=$C$1:$C$311)*(B263=$B$1:$B$311)*(A263=$A$1:$A$311),0),2):D262),0)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*VLOOKUP(A264,Skovbrug!$A$13:$D$17,IF('Skovbrug-alder'!C264&lt;=År2,3,4),FALSE)-IF(C264&gt;2020,SUM(INDEX($C$1:$D$311,MATCH(1,(2020=$C$1:$C$311)*(B264=$B$1:$B$311)*(A264=$A$1:$A$311),0),2):D263),0)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*VLOOKUP(A265,Skovbrug!$A$13:$D$17,IF('Skovbrug-alder'!C265&lt;=År2,3,4),FALSE)-IF(C265&gt;2020,SUM(INDEX($C$1:$D$311,MATCH(1,(2020=$C$1:$C$311)*(B265=$B$1:$B$311)*(A265=$A$1:$A$311),0),2):D264),0)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*VLOOKUP(A266,Skovbrug!$A$13:$D$17,IF('Skovbrug-alder'!C266&lt;=År2,3,4),FALSE)-IF(C266&gt;2020,SUM(INDEX($C$1:$D$311,MATCH(1,(2020=$C$1:$C$311)*(B266=$B$1:$B$311)*(A266=$A$1:$A$311),0),2):D265),0)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*VLOOKUP(A267,Skovbrug!$A$13:$D$17,IF('Skovbrug-alder'!C267&lt;=År2,3,4),FALSE)-IF(C267&gt;2020,SUM(INDEX($C$1:$D$311,MATCH(1,(2020=$C$1:$C$311)*(B267=$B$1:$B$311)*(A267=$A$1:$A$311),0),2):D266),0)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*VLOOKUP(A268,Skovbrug!$A$13:$D$17,IF('Skovbrug-alder'!C268&lt;=År2,3,4),FALSE)-IF(C268&gt;2020,SUM(INDEX($C$1:$D$311,MATCH(1,(2020=$C$1:$C$311)*(B268=$B$1:$B$311)*(A268=$A$1:$A$311),0),2):D267),0)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*VLOOKUP(A269,Skovbrug!$A$13:$D$17,IF('Skovbrug-alder'!C269&lt;=År2,3,4),FALSE)-IF(C269&gt;2020,SUM(INDEX($C$1:$D$311,MATCH(1,(2020=$C$1:$C$311)*(B269=$B$1:$B$311)*(A269=$A$1:$A$311),0),2):D268),0)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*VLOOKUP(A270,Skovbrug!$A$13:$D$17,IF('Skovbrug-alder'!C270&lt;=År2,3,4),FALSE)-IF(C270&gt;2020,SUM(INDEX($C$1:$D$311,MATCH(1,(2020=$C$1:$C$311)*(B270=$B$1:$B$311)*(A270=$A$1:$A$311),0),2):D269),0)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*VLOOKUP(A271,Skovbrug!$A$13:$D$17,IF('Skovbrug-alder'!C271&lt;=År2,3,4),FALSE)-IF(C271&gt;2020,SUM(INDEX($C$1:$D$311,MATCH(1,(2020=$C$1:$C$311)*(B271=$B$1:$B$311)*(A271=$A$1:$A$311),0),2):D270),0)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*VLOOKUP(A272,Skovbrug!$A$13:$D$17,IF('Skovbrug-alder'!C272&lt;=År2,3,4),FALSE)-IF(C272&gt;2020,SUM(INDEX($C$1:$D$311,MATCH(1,(2020=$C$1:$C$311)*(B272=$B$1:$B$311)*(A272=$A$1:$A$311),0),2):D271),0)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*VLOOKUP(A273,Skovbrug!$A$13:$D$17,IF('Skovbrug-alder'!C273&lt;=År2,3,4),FALSE)-IF(C273&gt;2020,SUM(INDEX($C$1:$D$311,MATCH(1,(2020=$C$1:$C$311)*(B273=$B$1:$B$311)*(A273=$A$1:$A$311),0),2):D272),0)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*VLOOKUP(A274,Skovbrug!$A$13:$D$17,IF('Skovbrug-alder'!C274&lt;=År2,3,4),FALSE)-IF(C274&gt;2020,SUM(INDEX($C$1:$D$311,MATCH(1,(2020=$C$1:$C$311)*(B274=$B$1:$B$311)*(A274=$A$1:$A$311),0),2):D273),0)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*VLOOKUP(A275,Skovbrug!$A$13:$D$17,IF('Skovbrug-alder'!C275&lt;=År2,3,4),FALSE)-IF(C275&gt;2020,SUM(INDEX($C$1:$D$311,MATCH(1,(2020=$C$1:$C$311)*(B275=$B$1:$B$311)*(A275=$A$1:$A$311),0),2):D274),0)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*VLOOKUP(A276,Skovbrug!$A$13:$D$17,IF('Skovbrug-alder'!C276&lt;=År2,3,4),FALSE)-IF(C276&gt;2020,SUM(INDEX($C$1:$D$311,MATCH(1,(2020=$C$1:$C$311)*(B276=$B$1:$B$311)*(A276=$A$1:$A$311),0),2):D275),0)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*VLOOKUP(A277,Skovbrug!$A$13:$D$17,IF('Skovbrug-alder'!C277&lt;=År2,3,4),FALSE)-IF(C277&gt;2020,SUM(INDEX($C$1:$D$311,MATCH(1,(2020=$C$1:$C$311)*(B277=$B$1:$B$311)*(A277=$A$1:$A$311),0),2):D276),0)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*VLOOKUP(A278,Skovbrug!$A$13:$D$17,IF('Skovbrug-alder'!C278&lt;=År2,3,4),FALSE)-IF(C278&gt;2020,SUM(INDEX($C$1:$D$311,MATCH(1,(2020=$C$1:$C$311)*(B278=$B$1:$B$311)*(A278=$A$1:$A$311),0),2):D277),0)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*VLOOKUP(A279,Skovbrug!$A$13:$D$17,IF('Skovbrug-alder'!C279&lt;=År2,3,4),FALSE)-IF(C279&gt;2020,SUM(INDEX($C$1:$D$311,MATCH(1,(2020=$C$1:$C$311)*(B279=$B$1:$B$311)*(A279=$A$1:$A$311),0),2):D278),0)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*VLOOKUP(A280,Skovbrug!$A$13:$D$17,IF('Skovbrug-alder'!C280&lt;=År2,3,4),FALSE)-IF(C280&gt;2020,SUM(INDEX($C$1:$D$311,MATCH(1,(2020=$C$1:$C$311)*(B280=$B$1:$B$311)*(A280=$A$1:$A$311),0),2):D279),0)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25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*VLOOKUP(A281,Skovbrug!$A$13:$D$17,IF('Skovbrug-alder'!C281&lt;=År2,3,4),FALSE)-IF(C281&gt;2020,SUM(INDEX($C$1:$D$311,MATCH(1,(2020=$C$1:$C$311)*(B281=$B$1:$B$311)*(A281=$A$1:$A$311),0),2):D280),0)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*VLOOKUP(A282,Skovbrug!$A$13:$D$17,IF('Skovbrug-alder'!C282&lt;=År2,3,4),FALSE)-IF(C282&gt;2020,SUM(INDEX($C$1:$D$311,MATCH(1,(2020=$C$1:$C$311)*(B282=$B$1:$B$311)*(A282=$A$1:$A$311),0),2):D281),0)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*VLOOKUP(A283,Skovbrug!$A$13:$D$17,IF('Skovbrug-alder'!C283&lt;=År2,3,4),FALSE)-IF(C283&gt;2020,SUM(INDEX($C$1:$D$311,MATCH(1,(2020=$C$1:$C$311)*(B283=$B$1:$B$311)*(A283=$A$1:$A$311),0),2):D282),0)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*VLOOKUP(A284,Skovbrug!$A$13:$D$17,IF('Skovbrug-alder'!C284&lt;=År2,3,4),FALSE)-IF(C284&gt;2020,SUM(INDEX($C$1:$D$311,MATCH(1,(2020=$C$1:$C$311)*(B284=$B$1:$B$311)*(A284=$A$1:$A$311),0),2):D283),0)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*VLOOKUP(A285,Skovbrug!$A$13:$D$17,IF('Skovbrug-alder'!C285&lt;=År2,3,4),FALSE)-IF(C285&gt;2020,SUM(INDEX($C$1:$D$311,MATCH(1,(2020=$C$1:$C$311)*(B285=$B$1:$B$311)*(A285=$A$1:$A$311),0),2):D284),0)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*VLOOKUP(A286,Skovbrug!$A$13:$D$17,IF('Skovbrug-alder'!C286&lt;=År2,3,4),FALSE)-IF(C286&gt;2020,SUM(INDEX($C$1:$D$311,MATCH(1,(2020=$C$1:$C$311)*(B286=$B$1:$B$311)*(A286=$A$1:$A$311),0),2):D285),0)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*VLOOKUP(A287,Skovbrug!$A$13:$D$17,IF('Skovbrug-alder'!C287&lt;=År2,3,4),FALSE)-IF(C287&gt;2020,SUM(INDEX($C$1:$D$311,MATCH(1,(2020=$C$1:$C$311)*(B287=$B$1:$B$311)*(A287=$A$1:$A$311),0),2):D286),0)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*VLOOKUP(A288,Skovbrug!$A$13:$D$17,IF('Skovbrug-alder'!C288&lt;=År2,3,4),FALSE)-IF(C288&gt;2020,SUM(INDEX($C$1:$D$311,MATCH(1,(2020=$C$1:$C$311)*(B288=$B$1:$B$311)*(A288=$A$1:$A$311),0),2):D287),0)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*VLOOKUP(A289,Skovbrug!$A$13:$D$17,IF('Skovbrug-alder'!C289&lt;=År2,3,4),FALSE)-IF(C289&gt;2020,SUM(INDEX($C$1:$D$311,MATCH(1,(2020=$C$1:$C$311)*(B289=$B$1:$B$311)*(A289=$A$1:$A$311),0),2):D288),0)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*VLOOKUP(A290,Skovbrug!$A$13:$D$17,IF('Skovbrug-alder'!C290&lt;=År2,3,4),FALSE)-IF(C290&gt;2020,SUM(INDEX($C$1:$D$311,MATCH(1,(2020=$C$1:$C$311)*(B290=$B$1:$B$311)*(A290=$A$1:$A$311),0),2):D289),0)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*VLOOKUP(A291,Skovbrug!$A$13:$D$17,IF('Skovbrug-alder'!C291&lt;=År2,3,4),FALSE)-IF(C291&gt;2020,SUM(INDEX($C$1:$D$311,MATCH(1,(2020=$C$1:$C$311)*(B291=$B$1:$B$311)*(A291=$A$1:$A$311),0),2):D290),0)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*VLOOKUP(A292,Skovbrug!$A$13:$D$17,IF('Skovbrug-alder'!C292&lt;=År2,3,4),FALSE)-IF(C292&gt;2020,SUM(INDEX($C$1:$D$311,MATCH(1,(2020=$C$1:$C$311)*(B292=$B$1:$B$311)*(A292=$A$1:$A$311),0),2):D291),0)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*VLOOKUP(A293,Skovbrug!$A$13:$D$17,IF('Skovbrug-alder'!C293&lt;=År2,3,4),FALSE)-IF(C293&gt;2020,SUM(INDEX($C$1:$D$311,MATCH(1,(2020=$C$1:$C$311)*(B293=$B$1:$B$311)*(A293=$A$1:$A$311),0),2):D292),0)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*VLOOKUP(A294,Skovbrug!$A$13:$D$17,IF('Skovbrug-alder'!C294&lt;=År2,3,4),FALSE)-IF(C294&gt;2020,SUM(INDEX($C$1:$D$311,MATCH(1,(2020=$C$1:$C$311)*(B294=$B$1:$B$311)*(A294=$A$1:$A$311),0),2):D293),0)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*VLOOKUP(A295,Skovbrug!$A$13:$D$17,IF('Skovbrug-alder'!C295&lt;=År2,3,4),FALSE)-IF(C295&gt;2020,SUM(INDEX($C$1:$D$311,MATCH(1,(2020=$C$1:$C$311)*(B295=$B$1:$B$311)*(A295=$A$1:$A$311),0),2):D294),0)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*VLOOKUP(A296,Skovbrug!$A$13:$D$17,IF('Skovbrug-alder'!C296&lt;=År2,3,4),FALSE)-IF(C296&gt;2020,SUM(INDEX($C$1:$D$311,MATCH(1,(2020=$C$1:$C$311)*(B296=$B$1:$B$311)*(A296=$A$1:$A$311),0),2):D295),0)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*VLOOKUP(A297,Skovbrug!$A$13:$D$17,IF('Skovbrug-alder'!C297&lt;=År2,3,4),FALSE)-IF(C297&gt;2020,SUM(INDEX($C$1:$D$311,MATCH(1,(2020=$C$1:$C$311)*(B297=$B$1:$B$311)*(A297=$A$1:$A$311),0),2):D296),0)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*VLOOKUP(A298,Skovbrug!$A$13:$D$17,IF('Skovbrug-alder'!C298&lt;=År2,3,4),FALSE)-IF(C298&gt;2020,SUM(INDEX($C$1:$D$311,MATCH(1,(2020=$C$1:$C$311)*(B298=$B$1:$B$311)*(A298=$A$1:$A$311),0),2):D297),0)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*VLOOKUP(A299,Skovbrug!$A$13:$D$17,IF('Skovbrug-alder'!C299&lt;=År2,3,4),FALSE)-IF(C299&gt;2020,SUM(INDEX($C$1:$D$311,MATCH(1,(2020=$C$1:$C$311)*(B299=$B$1:$B$311)*(A299=$A$1:$A$311),0),2):D298),0)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*VLOOKUP(A300,Skovbrug!$A$13:$D$17,IF('Skovbrug-alder'!C300&lt;=År2,3,4),FALSE)-IF(C300&gt;2020,SUM(INDEX($C$1:$D$311,MATCH(1,(2020=$C$1:$C$311)*(B300=$B$1:$B$311)*(A300=$A$1:$A$311),0),2):D299),0)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*VLOOKUP(A301,Skovbrug!$A$13:$D$17,IF('Skovbrug-alder'!C301&lt;=År2,3,4),FALSE)-IF(C301&gt;2020,SUM(INDEX($C$1:$D$311,MATCH(1,(2020=$C$1:$C$311)*(B301=$B$1:$B$311)*(A301=$A$1:$A$311),0),2):D300),0)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*VLOOKUP(A302,Skovbrug!$A$13:$D$17,IF('Skovbrug-alder'!C302&lt;=År2,3,4),FALSE)-IF(C302&gt;2020,SUM(INDEX($C$1:$D$311,MATCH(1,(2020=$C$1:$C$311)*(B302=$B$1:$B$311)*(A302=$A$1:$A$311),0),2):D301),0)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*VLOOKUP(A303,Skovbrug!$A$13:$D$17,IF('Skovbrug-alder'!C303&lt;=År2,3,4),FALSE)-IF(C303&gt;2020,SUM(INDEX($C$1:$D$311,MATCH(1,(2020=$C$1:$C$311)*(B303=$B$1:$B$311)*(A303=$A$1:$A$311),0),2):D302),0)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*VLOOKUP(A304,Skovbrug!$A$13:$D$17,IF('Skovbrug-alder'!C304&lt;=År2,3,4),FALSE)-IF(C304&gt;2020,SUM(INDEX($C$1:$D$311,MATCH(1,(2020=$C$1:$C$311)*(B304=$B$1:$B$311)*(A304=$A$1:$A$311),0),2):D303),0)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*VLOOKUP(A305,Skovbrug!$A$13:$D$17,IF('Skovbrug-alder'!C305&lt;=År2,3,4),FALSE)-IF(C305&gt;2020,SUM(INDEX($C$1:$D$311,MATCH(1,(2020=$C$1:$C$311)*(B305=$B$1:$B$311)*(A305=$A$1:$A$311),0),2):D304),0)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*VLOOKUP(A306,Skovbrug!$A$13:$D$17,IF('Skovbrug-alder'!C306&lt;=År2,3,4),FALSE)-IF(C306&gt;2020,SUM(INDEX($C$1:$D$311,MATCH(1,(2020=$C$1:$C$311)*(B306=$B$1:$B$311)*(A306=$A$1:$A$311),0),2):D305),0)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*VLOOKUP(A307,Skovbrug!$A$13:$D$17,IF('Skovbrug-alder'!C307&lt;=År2,3,4),FALSE)-IF(C307&gt;2020,SUM(INDEX($C$1:$D$311,MATCH(1,(2020=$C$1:$C$311)*(B307=$B$1:$B$311)*(A307=$A$1:$A$311),0),2):D306),0)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*VLOOKUP(A308,Skovbrug!$A$13:$D$17,IF('Skovbrug-alder'!C308&lt;=År2,3,4),FALSE)-IF(C308&gt;2020,SUM(INDEX($C$1:$D$311,MATCH(1,(2020=$C$1:$C$311)*(B308=$B$1:$B$311)*(A308=$A$1:$A$311),0),2):D307),0)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*VLOOKUP(A309,Skovbrug!$A$13:$D$17,IF('Skovbrug-alder'!C309&lt;=År2,3,4),FALSE)-IF(C309&gt;2020,SUM(INDEX($C$1:$D$311,MATCH(1,(2020=$C$1:$C$311)*(B309=$B$1:$B$311)*(A309=$A$1:$A$311),0),2):D308),0)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*VLOOKUP(A310,Skovbrug!$A$13:$D$17,IF('Skovbrug-alder'!C310&lt;=År2,3,4),FALSE)-IF(C310&gt;2020,SUM(INDEX($C$1:$D$311,MATCH(1,(2020=$C$1:$C$311)*(B310=$B$1:$B$311)*(A310=$A$1:$A$311),0),2):D309),0)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*VLOOKUP(A311,Skovbrug!$A$13:$D$17,IF('Skovbrug-alder'!C311&lt;=År2,3,4),FALSE)-IF(C311&gt;2020,SUM(INDEX($C$1:$D$311,MATCH(1,(2020=$C$1:$C$311)*(B311=$B$1:$B$311)*(A311=$A$1:$A$311),0),2):D310),0)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274</v>
      </c>
      <c r="F1" s="75"/>
    </row>
    <row r="2" spans="1:7" s="320" customFormat="1" x14ac:dyDescent="0.25">
      <c r="A2" s="319"/>
      <c r="C2" s="427" t="s">
        <v>320</v>
      </c>
      <c r="D2" s="427"/>
      <c r="E2" s="427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321</v>
      </c>
      <c r="G3" s="12" t="s">
        <v>317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28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28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29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29"/>
    </row>
    <row r="8" spans="1:7" s="12" customFormat="1" x14ac:dyDescent="0.25">
      <c r="A8" s="317"/>
      <c r="C8" s="12" t="s">
        <v>240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274</v>
      </c>
    </row>
    <row r="2" spans="1:10" ht="15.75" x14ac:dyDescent="0.25">
      <c r="A2" s="224" t="s">
        <v>25</v>
      </c>
    </row>
    <row r="3" spans="1:10" x14ac:dyDescent="0.25">
      <c r="A3" s="6" t="s">
        <v>304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324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212954.7645341866</v>
      </c>
      <c r="I5" s="10">
        <f>SUMIFS('Resultat-Produktion &amp; forbrug'!$N$3:$N$1000,'Resultat-Produktion &amp; forbrug'!$A$3:$A$1000,Adfærd!$G5,'Resultat-Produktion &amp; forbrug'!$D$3:$D$1000,Adfærd!I$4)</f>
        <v>241091.18051669211</v>
      </c>
      <c r="J5" s="10">
        <f>SUMIFS('Resultat-Produktion &amp; forbrug'!$N$3:$N$1000,'Resultat-Produktion &amp; forbrug'!$A$3:$A$1000,Adfærd!$G5,'Resultat-Produktion &amp; forbrug'!$D$3:$D$1000,Adfærd!J$4)</f>
        <v>251850.40969066555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322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323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316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C3" sqref="C3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274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3" t="s">
        <v>327</v>
      </c>
      <c r="G2" s="434"/>
      <c r="M2" s="122"/>
      <c r="Z2" s="344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0.53</v>
      </c>
      <c r="D3" s="178">
        <v>0.53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0.85085506224669805</v>
      </c>
      <c r="AC3" s="230">
        <f>SUM(E12:E14)/SUM(E12:E15)</f>
        <v>0.84156678039128929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0.76</v>
      </c>
      <c r="D4" s="178">
        <v>0.76</v>
      </c>
      <c r="E4" s="155"/>
      <c r="F4" s="171"/>
      <c r="G4" s="172"/>
      <c r="N4" s="245"/>
      <c r="Z4" s="345" t="s">
        <v>202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0.5</v>
      </c>
      <c r="D5" s="178">
        <v>0.5</v>
      </c>
      <c r="E5" s="155"/>
      <c r="F5" s="171"/>
      <c r="G5" s="172"/>
      <c r="H5" s="124"/>
      <c r="N5" s="245"/>
      <c r="Z5" s="177" t="s">
        <v>135</v>
      </c>
      <c r="AA5" s="346">
        <f t="shared" ref="AA5:AC6" si="0">C12/C$29</f>
        <v>0.22267199142680771</v>
      </c>
      <c r="AB5" s="346">
        <f t="shared" si="0"/>
        <v>0.34031562314868813</v>
      </c>
      <c r="AC5" s="346">
        <f t="shared" si="0"/>
        <v>0.3303788017692923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v>0.37924884410556858</v>
      </c>
      <c r="D6" s="178">
        <v>0.37924884410556858</v>
      </c>
      <c r="E6" s="155"/>
      <c r="F6" s="171"/>
      <c r="G6" s="172"/>
      <c r="H6" s="125"/>
      <c r="Z6" s="347" t="s">
        <v>136</v>
      </c>
      <c r="AA6" s="346">
        <f t="shared" si="0"/>
        <v>0.33257225498473725</v>
      </c>
      <c r="AB6" s="346">
        <f t="shared" si="0"/>
        <v>0.39319844103504681</v>
      </c>
      <c r="AC6" s="346">
        <f t="shared" si="0"/>
        <v>0.39109334699095094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v>0.5</v>
      </c>
      <c r="F7" s="171"/>
      <c r="G7" s="173"/>
      <c r="N7" s="156"/>
    </row>
    <row r="8" spans="1:29" ht="12.75" thickBot="1" x14ac:dyDescent="0.25">
      <c r="A8" s="177" t="s">
        <v>208</v>
      </c>
      <c r="B8" s="230">
        <v>0</v>
      </c>
      <c r="C8" s="178">
        <v>0</v>
      </c>
      <c r="D8" s="178">
        <v>0</v>
      </c>
      <c r="F8" s="174"/>
      <c r="G8" s="175"/>
      <c r="I8" s="156"/>
    </row>
    <row r="10" spans="1:29" ht="23.45" customHeight="1" x14ac:dyDescent="0.2">
      <c r="A10" s="126"/>
      <c r="B10" s="127"/>
      <c r="C10" s="431" t="s">
        <v>210</v>
      </c>
      <c r="D10" s="431"/>
      <c r="E10" s="431"/>
      <c r="F10" s="430" t="s">
        <v>328</v>
      </c>
      <c r="G10" s="430"/>
      <c r="J10" s="432" t="s">
        <v>211</v>
      </c>
      <c r="K10" s="432"/>
      <c r="L10" s="432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7317872.3979037404</v>
      </c>
      <c r="E12" s="130">
        <f>SUMIFS('Resultater - Danmark'!J$3:J$504,'Resultater - Danmark'!$F$3:$F$504,$A12)*D3</f>
        <v>7005959.4247079371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6489434.013235392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6212831.9426655276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1">C12/C$29</f>
        <v>0.22267199142680771</v>
      </c>
      <c r="K12" s="131">
        <f t="shared" ref="K12:K28" si="2">D12/D$29</f>
        <v>0.34031562314868813</v>
      </c>
      <c r="L12" s="131">
        <f t="shared" ref="L12:L28" si="3">E12/E$29</f>
        <v>0.3303788017692923</v>
      </c>
      <c r="M12" s="123" t="s">
        <v>212</v>
      </c>
      <c r="N12" s="123">
        <f>S12+2/3*T12</f>
        <v>2914869.3333333335</v>
      </c>
      <c r="O12" s="149">
        <f t="shared" ref="O12:O16" si="4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8455021.8174732141</v>
      </c>
      <c r="E13" s="133">
        <f>SUMIFS('Resultater - Danmark'!J$3:J$504,'Resultater - Danmark'!$F$3:$F$504,$A13)*D4</f>
        <v>8293462.2488436466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2670006.8897283841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2618988.0785822039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1"/>
        <v>0.33257225498473725</v>
      </c>
      <c r="K13" s="134">
        <f t="shared" si="2"/>
        <v>0.39319844103504681</v>
      </c>
      <c r="L13" s="134">
        <f t="shared" si="3"/>
        <v>0.39109334699095094</v>
      </c>
      <c r="M13" s="123" t="s">
        <v>213</v>
      </c>
      <c r="N13" s="123">
        <f>S13+1/3*T13</f>
        <v>4353509.666666667</v>
      </c>
      <c r="O13" s="149">
        <f t="shared" si="4"/>
        <v>0</v>
      </c>
      <c r="P13" s="138">
        <f t="shared" ref="P13:P28" si="5">C13*I13</f>
        <v>61384486.300000004</v>
      </c>
      <c r="Q13" s="123">
        <f t="shared" ref="Q13:Q28" si="6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3617.1712242793346</v>
      </c>
      <c r="E14" s="133">
        <f>SUMIFS('Resultater - Danmark'!J$3:J$504,'Resultater - Danmark'!$F$3:$F$504,$A14)*D5</f>
        <v>3735.4520479403895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3617.1712242793342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3735.45204794039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1"/>
        <v>3.3929399119623192E-4</v>
      </c>
      <c r="K14" s="134">
        <f t="shared" si="2"/>
        <v>1.6821554302842836E-4</v>
      </c>
      <c r="L14" s="134">
        <f t="shared" si="3"/>
        <v>1.7615205810539539E-4</v>
      </c>
      <c r="M14" s="126" t="s">
        <v>145</v>
      </c>
      <c r="N14" s="127">
        <v>11417</v>
      </c>
      <c r="O14" s="149">
        <f t="shared" si="4"/>
        <v>6975.5</v>
      </c>
      <c r="P14" s="138">
        <f t="shared" si="5"/>
        <v>58183.65</v>
      </c>
      <c r="Q14" s="123">
        <f t="shared" si="6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2765437.8672976275</v>
      </c>
      <c r="E15" s="133">
        <f>SUMIFS('Resultater - Danmark'!J$3:J$504,'Resultater - Danmark'!$F$3:$F$504,$A15)*D6</f>
        <v>2880969.7698136591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4526444.2578007793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4715545.854665623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1"/>
        <v>0.20387691989197443</v>
      </c>
      <c r="K15" s="134">
        <f t="shared" si="2"/>
        <v>0.12860591985150802</v>
      </c>
      <c r="L15" s="134">
        <f t="shared" si="3"/>
        <v>0.1358573869451534</v>
      </c>
      <c r="M15" s="136" t="s">
        <v>294</v>
      </c>
      <c r="N15" s="137">
        <f>SUM(S15:Z15)</f>
        <v>2668834</v>
      </c>
      <c r="O15" s="149">
        <f t="shared" si="4"/>
        <v>0</v>
      </c>
      <c r="P15" s="138">
        <f>C15*I15</f>
        <v>37096792.600000001</v>
      </c>
      <c r="Q15" s="123">
        <f t="shared" si="6"/>
        <v>1.3317748543399999</v>
      </c>
      <c r="S15" s="164">
        <v>2666649</v>
      </c>
      <c r="T15" s="123">
        <v>2185</v>
      </c>
      <c r="U15" s="164" t="s">
        <v>296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1204392.371220411</v>
      </c>
      <c r="E16" s="133">
        <f>SUMIFS('Resultater - Danmark'!J$3:J$504,'Resultater - Danmark'!$F$3:$F$504,$A16)*D7</f>
        <v>1262014.3338818299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1204392.371220411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1262014.3338818299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1"/>
        <v>5.7835206554718369E-2</v>
      </c>
      <c r="K16" s="134">
        <f t="shared" si="2"/>
        <v>5.6009932674531422E-2</v>
      </c>
      <c r="L16" s="134">
        <f t="shared" si="3"/>
        <v>5.9512588950075447E-2</v>
      </c>
      <c r="M16" s="243" t="s">
        <v>156</v>
      </c>
      <c r="N16" s="244">
        <v>757087</v>
      </c>
      <c r="O16" s="149">
        <f t="shared" si="4"/>
        <v>0</v>
      </c>
      <c r="P16" s="138">
        <f t="shared" si="5"/>
        <v>45425220</v>
      </c>
      <c r="Q16" s="123">
        <f t="shared" si="6"/>
        <v>1.6307653980000001</v>
      </c>
    </row>
    <row r="17" spans="1:23" x14ac:dyDescent="0.2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0</v>
      </c>
      <c r="E17" s="133">
        <f>SUMIFS('Resultater - Danmark'!J$3:J$504,'Resultater - Danmark'!$F$3:$F$504,$A17)*D8</f>
        <v>0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1"/>
        <v>0</v>
      </c>
      <c r="K17" s="134">
        <f t="shared" si="2"/>
        <v>0</v>
      </c>
      <c r="L17" s="134">
        <f t="shared" si="3"/>
        <v>0</v>
      </c>
      <c r="M17" s="123" t="s">
        <v>149</v>
      </c>
      <c r="N17" s="138"/>
      <c r="O17" s="149"/>
      <c r="P17" s="138">
        <f t="shared" si="5"/>
        <v>0</v>
      </c>
      <c r="Q17" s="123">
        <f t="shared" si="6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7">N18</f>
        <v>729134</v>
      </c>
      <c r="D18" s="247">
        <v>363995</v>
      </c>
      <c r="E18" s="247">
        <v>369777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1"/>
        <v>5.5699827755684647E-2</v>
      </c>
      <c r="K18" s="134">
        <f t="shared" si="2"/>
        <v>1.6927486366596273E-2</v>
      </c>
      <c r="L18" s="134">
        <f t="shared" si="3"/>
        <v>1.7437509236921743E-2</v>
      </c>
      <c r="M18" s="158" t="s">
        <v>292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725968</v>
      </c>
      <c r="E19" s="247">
        <v>723032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-74189.67769150075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-73602.891942499205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1"/>
        <v>7.6059758980185313E-2</v>
      </c>
      <c r="K19" s="134">
        <f t="shared" si="2"/>
        <v>3.3760940184851887E-2</v>
      </c>
      <c r="L19" s="134">
        <f t="shared" si="3"/>
        <v>3.4095893413030022E-2</v>
      </c>
      <c r="M19" s="160" t="s">
        <v>293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2143576.4585474529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2040774.445573553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1"/>
        <v>5.8007317184497744E-3</v>
      </c>
      <c r="K20" s="134">
        <f t="shared" si="2"/>
        <v>3.531289577497277E-3</v>
      </c>
      <c r="L20" s="134">
        <f t="shared" si="3"/>
        <v>3.5808063411094139E-3</v>
      </c>
      <c r="M20" s="123" t="s">
        <v>146</v>
      </c>
      <c r="N20" s="138">
        <v>75934</v>
      </c>
      <c r="O20" s="149">
        <f t="shared" ref="O20:O28" si="8">N20-C20</f>
        <v>0</v>
      </c>
      <c r="P20" s="138">
        <f t="shared" si="5"/>
        <v>12195000.4</v>
      </c>
      <c r="Q20" s="123">
        <f t="shared" si="6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9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3745592.3287930838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4123992.6119490829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1"/>
        <v>2.8921919411661239E-4</v>
      </c>
      <c r="K21" s="134">
        <f t="shared" si="2"/>
        <v>1.7606687834704731E-4</v>
      </c>
      <c r="L21" s="134">
        <f t="shared" si="3"/>
        <v>1.7853573902916006E-4</v>
      </c>
      <c r="M21" s="123" t="s">
        <v>157</v>
      </c>
      <c r="N21" s="138">
        <v>3786</v>
      </c>
      <c r="O21" s="149">
        <f t="shared" si="8"/>
        <v>0</v>
      </c>
      <c r="P21" s="138">
        <f t="shared" si="5"/>
        <v>361184.4</v>
      </c>
      <c r="Q21" s="123">
        <f t="shared" si="6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9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7551628.0178114027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8493102.5155149586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1"/>
        <v>6.5450166123425784E-3</v>
      </c>
      <c r="K22" s="134">
        <f t="shared" si="2"/>
        <v>3.9843850861436799E-3</v>
      </c>
      <c r="L22" s="134">
        <f t="shared" si="3"/>
        <v>4.0402552860014122E-3</v>
      </c>
      <c r="M22" s="162" t="s">
        <v>295</v>
      </c>
      <c r="N22" s="163">
        <f>SUM(S22:Z22)</f>
        <v>85677</v>
      </c>
      <c r="O22" s="149">
        <f t="shared" si="8"/>
        <v>0</v>
      </c>
      <c r="P22" s="138">
        <f t="shared" si="5"/>
        <v>4390946.25</v>
      </c>
      <c r="Q22" s="123">
        <f t="shared" si="6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9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2973555.9309564214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3371673.9663868714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1"/>
        <v>2.5211266180012976E-2</v>
      </c>
      <c r="K23" s="134">
        <f t="shared" si="2"/>
        <v>1.5347767457306561E-2</v>
      </c>
      <c r="L23" s="134">
        <f t="shared" si="3"/>
        <v>1.5562978290765341E-2</v>
      </c>
      <c r="M23" s="123" t="s">
        <v>147</v>
      </c>
      <c r="N23" s="138">
        <v>330026</v>
      </c>
      <c r="O23" s="149">
        <f t="shared" si="8"/>
        <v>0</v>
      </c>
      <c r="P23" s="138">
        <f t="shared" si="5"/>
        <v>33002600</v>
      </c>
      <c r="Q23" s="123">
        <f t="shared" si="6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9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1969610.0476000698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2085925.8941863207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1"/>
        <v>2.1882418952642265E-3</v>
      </c>
      <c r="K24" s="134">
        <f t="shared" si="2"/>
        <v>1.3321277681593159E-3</v>
      </c>
      <c r="L24" s="134">
        <f t="shared" si="3"/>
        <v>1.3508072489409114E-3</v>
      </c>
      <c r="M24" s="123" t="s">
        <v>148</v>
      </c>
      <c r="N24" s="138">
        <v>28645</v>
      </c>
      <c r="O24" s="149">
        <f t="shared" si="8"/>
        <v>0</v>
      </c>
      <c r="P24" s="138">
        <f t="shared" si="5"/>
        <v>2165562</v>
      </c>
      <c r="Q24" s="123">
        <f t="shared" si="6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9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1"/>
        <v>5.9585570895657067E-6</v>
      </c>
      <c r="K25" s="134">
        <f t="shared" si="2"/>
        <v>3.6273683336158717E-6</v>
      </c>
      <c r="L25" s="134">
        <f t="shared" si="3"/>
        <v>3.6782323413297636E-6</v>
      </c>
      <c r="M25" s="123" t="s">
        <v>163</v>
      </c>
      <c r="N25" s="138">
        <v>78</v>
      </c>
      <c r="O25" s="149">
        <f t="shared" si="8"/>
        <v>0</v>
      </c>
      <c r="P25" s="138">
        <f t="shared" si="5"/>
        <v>3689.3999999999996</v>
      </c>
      <c r="Q25" s="123">
        <f t="shared" si="6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9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1"/>
        <v>1.090431225742036E-2</v>
      </c>
      <c r="K26" s="134">
        <f t="shared" si="2"/>
        <v>6.638177059961497E-3</v>
      </c>
      <c r="L26" s="134">
        <f t="shared" si="3"/>
        <v>6.7312594982832452E-3</v>
      </c>
      <c r="M26" s="123" t="s">
        <v>161</v>
      </c>
      <c r="N26" s="123">
        <v>142742</v>
      </c>
      <c r="O26" s="149">
        <f t="shared" si="8"/>
        <v>0</v>
      </c>
      <c r="P26" s="138">
        <f t="shared" si="5"/>
        <v>60431253.120000005</v>
      </c>
      <c r="Q26" s="123">
        <f t="shared" si="6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9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1"/>
        <v>0</v>
      </c>
      <c r="K27" s="134">
        <f t="shared" si="2"/>
        <v>0</v>
      </c>
      <c r="L27" s="134">
        <f t="shared" si="3"/>
        <v>0</v>
      </c>
      <c r="M27" s="123" t="s">
        <v>149</v>
      </c>
      <c r="O27" s="149">
        <f t="shared" si="8"/>
        <v>0</v>
      </c>
      <c r="P27" s="138">
        <f t="shared" si="5"/>
        <v>0</v>
      </c>
      <c r="Q27" s="123">
        <f t="shared" si="6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9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1"/>
        <v>0</v>
      </c>
      <c r="K28" s="140">
        <f t="shared" si="2"/>
        <v>0</v>
      </c>
      <c r="L28" s="140">
        <f t="shared" si="3"/>
        <v>0</v>
      </c>
      <c r="M28" s="123" t="s">
        <v>149</v>
      </c>
      <c r="O28" s="149">
        <f t="shared" si="8"/>
        <v>0</v>
      </c>
      <c r="P28" s="138">
        <f t="shared" si="5"/>
        <v>0</v>
      </c>
      <c r="Q28" s="123">
        <f t="shared" si="6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21503192.625119273</v>
      </c>
      <c r="E29" s="142">
        <f>SUM(E12:E28)</f>
        <v>21205838.229295012</v>
      </c>
      <c r="F29" s="142"/>
      <c r="G29" s="142"/>
      <c r="H29" s="143"/>
      <c r="I29" s="143"/>
      <c r="J29" s="144">
        <f>SUM(J12:J28)</f>
        <v>1</v>
      </c>
      <c r="K29" s="144">
        <f>SUM(K12:K28)</f>
        <v>1</v>
      </c>
      <c r="L29" s="144">
        <f>SUM(L12:L28)</f>
        <v>1.0000000000000002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0.10536609436161316</v>
      </c>
      <c r="E30" s="146">
        <f>SUMPRODUCT(E12:E28,$H$12:$H$28)/E29</f>
        <v>0.10668972466527758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2.0840347189956605E-2</v>
      </c>
      <c r="E31" s="146">
        <f>SUM(E21:E24)/E29</f>
        <v>2.1132576564736823E-2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539354838.00291681</v>
      </c>
      <c r="E32" s="123">
        <f>SUMPRODUCT(E12:E28,$I$12:$I$28)</f>
        <v>538646145.97033834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19.362838684304716</v>
      </c>
      <c r="E33" s="123">
        <f>E32*[1]Energiindhold!$C$10</f>
        <v>19.33739664033515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0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6391729.2665735735</v>
      </c>
      <c r="E39" s="130">
        <f>SUMIFS('Resultater - Vestdanmark'!J$3:J$504,'Resultater - Vestdanmark'!$F$3:$F$504,$A39)*D3</f>
        <v>6119291.7094537346</v>
      </c>
      <c r="F39" s="131">
        <f>VLOOKUP(A39,[1]Biogasudbytte!$A$2:$C$18,3,FALSE)</f>
        <v>0.05</v>
      </c>
      <c r="G39" s="132">
        <f t="shared" ref="G39:G55" si="11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926143.13133016659</v>
      </c>
      <c r="M39" s="130">
        <f>SUMIFS('Resultater - Østdanmark'!J$3:J$504,'Resultater - Østdanmark'!$F$3:$F$504,$A39)*D3</f>
        <v>886667.7152542026</v>
      </c>
      <c r="N39" s="131">
        <f>VLOOKUP(I39,[1]Biogasudbytte!$A$2:$C$18,3,FALSE)</f>
        <v>0.05</v>
      </c>
      <c r="O39" s="132">
        <f t="shared" ref="O39:O55" si="12">I12</f>
        <v>12</v>
      </c>
    </row>
    <row r="40" spans="1:15" hidden="1" x14ac:dyDescent="0.2">
      <c r="A40" s="124" t="str">
        <f t="shared" si="10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7893966.0004921574</v>
      </c>
      <c r="E40" s="133">
        <f>SUMIFS('Resultater - Vestdanmark'!J$3:J$504,'Resultater - Vestdanmark'!$F$3:$F$504,$A40)*D4</f>
        <v>7743127.1535502924</v>
      </c>
      <c r="F40" s="134">
        <f>VLOOKUP(A40,[1]Biogasudbytte!$A$2:$C$18,3,FALSE)</f>
        <v>7.5999999999999998E-2</v>
      </c>
      <c r="G40" s="135">
        <f t="shared" si="11"/>
        <v>14.1</v>
      </c>
      <c r="I40" s="124" t="str">
        <f t="shared" ref="I40:I55" si="13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561055.81698105508</v>
      </c>
      <c r="M40" s="133">
        <f>SUMIFS('Resultater - Østdanmark'!J$3:J$504,'Resultater - Østdanmark'!$F$3:$F$504,$A40)*D4</f>
        <v>550335.09529335448</v>
      </c>
      <c r="N40" s="134">
        <f>VLOOKUP(I40,[1]Biogasudbytte!$A$2:$C$18,3,FALSE)</f>
        <v>7.5999999999999998E-2</v>
      </c>
      <c r="O40" s="135">
        <f t="shared" si="12"/>
        <v>14.1</v>
      </c>
    </row>
    <row r="41" spans="1:15" hidden="1" x14ac:dyDescent="0.2">
      <c r="A41" s="124" t="str">
        <f t="shared" si="10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3337.0904542181925</v>
      </c>
      <c r="E41" s="133">
        <f>SUMIFS('Resultater - Vestdanmark'!J$3:J$504,'Resultater - Vestdanmark'!$F$3:$F$504,$A41)*D5</f>
        <v>3446.2126889929687</v>
      </c>
      <c r="F41" s="134">
        <f>VLOOKUP(A41,[1]Biogasudbytte!$A$2:$C$18,3,FALSE)</f>
        <v>6.3E-2</v>
      </c>
      <c r="G41" s="135">
        <f t="shared" si="11"/>
        <v>13.1</v>
      </c>
      <c r="I41" s="124" t="str">
        <f t="shared" si="13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280.08077006114183</v>
      </c>
      <c r="M41" s="133">
        <f>SUMIFS('Resultater - Østdanmark'!J$3:J$504,'Resultater - Østdanmark'!$F$3:$F$504,$A41)*D5</f>
        <v>289.23935894742124</v>
      </c>
      <c r="N41" s="134">
        <f>VLOOKUP(I41,[1]Biogasudbytte!$A$2:$C$18,3,FALSE)</f>
        <v>6.3E-2</v>
      </c>
      <c r="O41" s="135">
        <f t="shared" si="12"/>
        <v>13.1</v>
      </c>
    </row>
    <row r="42" spans="1:15" hidden="1" x14ac:dyDescent="0.2">
      <c r="A42" s="124" t="str">
        <f t="shared" si="10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1497865.6247316466</v>
      </c>
      <c r="E42" s="133">
        <f>SUMIFS('Resultater - Vestdanmark'!J$3:J$504,'Resultater - Vestdanmark'!$F$3:$F$504,$A42)*D6</f>
        <v>1554136.2730559006</v>
      </c>
      <c r="F42" s="134">
        <f>VLOOKUP(A42,[1]Biogasudbytte!$A$2:$C$18,3,FALSE)</f>
        <v>0.06</v>
      </c>
      <c r="G42" s="135">
        <f t="shared" si="11"/>
        <v>13.9</v>
      </c>
      <c r="I42" s="124" t="str">
        <f t="shared" si="13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1267572.2425659813</v>
      </c>
      <c r="M42" s="133">
        <f>SUMIFS('Resultater - Østdanmark'!J$3:J$504,'Resultater - Østdanmark'!$F$3:$F$504,$A42)*D6</f>
        <v>1326833.4967577588</v>
      </c>
      <c r="N42" s="134">
        <f>VLOOKUP(I42,[1]Biogasudbytte!$A$2:$C$18,3,FALSE)</f>
        <v>0.06</v>
      </c>
      <c r="O42" s="135">
        <f t="shared" si="12"/>
        <v>13.9</v>
      </c>
    </row>
    <row r="43" spans="1:15" hidden="1" x14ac:dyDescent="0.2">
      <c r="A43" s="124" t="str">
        <f t="shared" si="10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1061170.3273835385</v>
      </c>
      <c r="E43" s="133">
        <f>SUMIFS('Resultater - Vestdanmark'!J$3:J$504,'Resultater - Vestdanmark'!$F$3:$F$504,$A43)*D7</f>
        <v>1111191.0910754299</v>
      </c>
      <c r="F43" s="134">
        <f>VLOOKUP(A43,[1]Biogasudbytte!$A$2:$C$18,3,FALSE)</f>
        <v>0.3</v>
      </c>
      <c r="G43" s="135">
        <f t="shared" si="11"/>
        <v>60</v>
      </c>
      <c r="I43" s="124" t="str">
        <f t="shared" si="13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143222.04383687259</v>
      </c>
      <c r="M43" s="133">
        <f>SUMIFS('Resultater - Østdanmark'!J$3:J$504,'Resultater - Østdanmark'!$F$3:$F$504,$A43)*D7</f>
        <v>150823.24280639994</v>
      </c>
      <c r="N43" s="134">
        <f>VLOOKUP(I43,[1]Biogasudbytte!$A$2:$C$18,3,FALSE)</f>
        <v>0.3</v>
      </c>
      <c r="O43" s="135">
        <f t="shared" si="12"/>
        <v>60</v>
      </c>
    </row>
    <row r="44" spans="1:15" hidden="1" x14ac:dyDescent="0.2">
      <c r="A44" s="125" t="str">
        <f t="shared" si="10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0</v>
      </c>
      <c r="E44" s="133">
        <f>SUMIFS('Resultater - Vestdanmark'!J$3:J$504,'Resultater - Vestdanmark'!$F$3:$F$504,$A44)*D8</f>
        <v>0</v>
      </c>
      <c r="F44" s="134">
        <f>VLOOKUP(A44,[1]Biogasudbytte!$A$2:$C$18,3,FALSE)</f>
        <v>4.2763387558472386E-2</v>
      </c>
      <c r="G44" s="135">
        <f t="shared" si="11"/>
        <v>15.822453396634783</v>
      </c>
      <c r="I44" s="125" t="str">
        <f t="shared" si="13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0</v>
      </c>
      <c r="M44" s="133">
        <f>SUMIFS('Resultater - Østdanmark'!J$3:J$504,'Resultater - Østdanmark'!$F$3:$F$504,$A44)*D8</f>
        <v>0</v>
      </c>
      <c r="N44" s="134">
        <f>VLOOKUP(I44,[1]Biogasudbytte!$A$2:$C$18,3,FALSE)</f>
        <v>4.2763387558472386E-2</v>
      </c>
      <c r="O44" s="135">
        <f t="shared" si="12"/>
        <v>15.822453396634783</v>
      </c>
    </row>
    <row r="45" spans="1:15" hidden="1" x14ac:dyDescent="0.2">
      <c r="A45" s="124" t="str">
        <f t="shared" si="10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195082.24112879002</v>
      </c>
      <c r="E45" s="133">
        <f ca="1">SUMIFS('Resultater - Vestdanmark'!J$3:J$504,'Resultater - Vestdanmark'!$F$3:$F$504,$A45)/SUMIFS('Resultater - Danmark'!J$3:J$504,'Resultater - Danmark'!$F$3:$F$504,$A45)*E18</f>
        <v>197484.23354298095</v>
      </c>
      <c r="F45" s="134">
        <f>VLOOKUP(A45,[1]Biogasudbytte!$A$2:$C$18,3,FALSE)</f>
        <v>0.28000000000000003</v>
      </c>
      <c r="G45" s="135">
        <f t="shared" si="11"/>
        <v>94.9</v>
      </c>
      <c r="I45" s="124" t="str">
        <f t="shared" si="13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168912.75887120995</v>
      </c>
      <c r="M45" s="133">
        <f ca="1">SUMIFS('Resultater - Østdanmark'!J$3:J$504,'Resultater - Østdanmark'!$F$3:$F$504,$A45)/SUMIFS('Resultater - Danmark'!J$3:J$504,'Resultater - Danmark'!$F$3:$F$504,$A45)*E18</f>
        <v>172292.76645701908</v>
      </c>
      <c r="N45" s="134">
        <f>VLOOKUP(I45,[1]Biogasudbytte!$A$2:$C$18,3,FALSE)</f>
        <v>0.28000000000000003</v>
      </c>
      <c r="O45" s="135">
        <f t="shared" si="12"/>
        <v>94.9</v>
      </c>
    </row>
    <row r="46" spans="1:15" hidden="1" x14ac:dyDescent="0.2">
      <c r="A46" s="124" t="str">
        <f t="shared" si="10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508461.98144503916</v>
      </c>
      <c r="E46" s="133">
        <f>SUMIFS('Resultater - Vestdanmark'!J$3:J$504,'Resultater - Vestdanmark'!$F$3:$F$504,$A46)/SUMIFS('Resultater - Danmark'!J$3:J$504,'Resultater - Danmark'!$F$3:$F$504,$A46)*E19</f>
        <v>505095.54922592157</v>
      </c>
      <c r="F46" s="134">
        <f>VLOOKUP(A46,[1]Biogasudbytte!$A$2:$C$18,3,FALSE)</f>
        <v>0.42</v>
      </c>
      <c r="G46" s="135">
        <f t="shared" si="11"/>
        <v>102.595</v>
      </c>
      <c r="I46" s="124" t="str">
        <f t="shared" si="13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217506.01855496093</v>
      </c>
      <c r="M46" s="133">
        <f>SUMIFS('Resultater - Østdanmark'!J$3:J$504,'Resultater - Østdanmark'!$F$3:$F$504,$A46)/SUMIFS('Resultater - Danmark'!J$3:J$504,'Resultater - Danmark'!$F$3:$F$504,$A46)*E19</f>
        <v>217936.45077407858</v>
      </c>
      <c r="N46" s="134">
        <f>VLOOKUP(I46,[1]Biogasudbytte!$A$2:$C$18,3,FALSE)</f>
        <v>0.42</v>
      </c>
      <c r="O46" s="135">
        <f t="shared" si="12"/>
        <v>102.595</v>
      </c>
    </row>
    <row r="47" spans="1:15" hidden="1" x14ac:dyDescent="0.2">
      <c r="A47" s="124" t="str">
        <f t="shared" si="10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53194.904606816119</v>
      </c>
      <c r="D47" s="133">
        <f>SUMIFS('Resultater - Vestdanmark'!I$3:I$504,'Resultater - Vestdanmark'!$F$3:$F$504,$A47)/SUMIFS('Resultater - Danmark'!I$3:I$504,'Resultater - Danmark'!$F$3:$F$504,$A47)*D20</f>
        <v>53742.432547067721</v>
      </c>
      <c r="E47" s="133">
        <f>SUMIFS('Resultater - Vestdanmark'!J$3:J$504,'Resultater - Vestdanmark'!$F$3:$F$504,$A47)/SUMIFS('Resultater - Danmark'!J$3:J$504,'Resultater - Danmark'!$F$3:$F$504,$A47)*E20</f>
        <v>53519.00366190957</v>
      </c>
      <c r="F47" s="134">
        <f>VLOOKUP(A47,[1]Biogasudbytte!$A$2:$C$18,3,FALSE)</f>
        <v>0.85</v>
      </c>
      <c r="G47" s="135">
        <f t="shared" si="11"/>
        <v>160.6</v>
      </c>
      <c r="I47" s="124" t="str">
        <f t="shared" si="13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22739.095393183845</v>
      </c>
      <c r="L47" s="133">
        <f>SUMIFS('Resultater - Østdanmark'!I$3:I$504,'Resultater - Østdanmark'!$F$3:$F$504,$A47)/SUMIFS('Resultater - Danmark'!I$3:I$504,'Resultater - Danmark'!$F$3:$F$504,$A47)*D20</f>
        <v>22191.567452932264</v>
      </c>
      <c r="M47" s="133">
        <f>SUMIFS('Resultater - Østdanmark'!J$3:J$504,'Resultater - Østdanmark'!$F$3:$F$504,$A47)/SUMIFS('Resultater - Danmark'!J$3:J$504,'Resultater - Danmark'!$F$3:$F$504,$A47)*E20</f>
        <v>22414.996338090419</v>
      </c>
      <c r="N47" s="134">
        <f>VLOOKUP(I47,[1]Biogasudbytte!$A$2:$C$18,3,FALSE)</f>
        <v>0.85</v>
      </c>
      <c r="O47" s="135">
        <f t="shared" si="12"/>
        <v>160.6</v>
      </c>
    </row>
    <row r="48" spans="1:15" hidden="1" x14ac:dyDescent="0.2">
      <c r="A48" s="124" t="str">
        <f t="shared" si="10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2843.3935258054057</v>
      </c>
      <c r="D48" s="133">
        <f>SUMIFS('Resultater - Vestdanmark'!I$3:I$504,'Resultater - Vestdanmark'!$F$3:$F$504,$A48)/SUMIFS('Resultater - Danmark'!I$3:I$504,'Resultater - Danmark'!$F$3:$F$504,$A48)*D21</f>
        <v>2838.8656563257464</v>
      </c>
      <c r="E48" s="133">
        <f>SUMIFS('Resultater - Vestdanmark'!J$3:J$504,'Resultater - Vestdanmark'!$F$3:$F$504,$A48)/SUMIFS('Resultater - Danmark'!J$3:J$504,'Resultater - Danmark'!$F$3:$F$504,$A48)*E21</f>
        <v>2832.9524091506291</v>
      </c>
      <c r="F48" s="134">
        <f>VLOOKUP(A48,[1]Biogasudbytte!$A$2:$C$18,3,FALSE)</f>
        <v>0.31</v>
      </c>
      <c r="G48" s="135">
        <f t="shared" si="11"/>
        <v>95.4</v>
      </c>
      <c r="I48" s="124" t="str">
        <f t="shared" si="13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942.6064741945944</v>
      </c>
      <c r="L48" s="133">
        <f>SUMIFS('Resultater - Østdanmark'!I$3:I$504,'Resultater - Østdanmark'!$F$3:$F$504,$A48)/SUMIFS('Resultater - Danmark'!I$3:I$504,'Resultater - Danmark'!$F$3:$F$504,$A48)*D21</f>
        <v>947.1343436742535</v>
      </c>
      <c r="M48" s="133">
        <f>SUMIFS('Resultater - Østdanmark'!J$3:J$504,'Resultater - Østdanmark'!$F$3:$F$504,$A48)/SUMIFS('Resultater - Danmark'!J$3:J$504,'Resultater - Danmark'!$F$3:$F$504,$A48)*E21</f>
        <v>953.04759084937086</v>
      </c>
      <c r="N48" s="134">
        <f>VLOOKUP(I48,[1]Biogasudbytte!$A$2:$C$18,3,FALSE)</f>
        <v>0.31</v>
      </c>
      <c r="O48" s="135">
        <f t="shared" si="12"/>
        <v>95.4</v>
      </c>
    </row>
    <row r="49" spans="1:15" hidden="1" x14ac:dyDescent="0.2">
      <c r="A49" s="124" t="str">
        <f t="shared" si="10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75399.16825098735</v>
      </c>
      <c r="D49" s="133">
        <f>SUMIFS('Resultater - Vestdanmark'!I$3:I$504,'Resultater - Vestdanmark'!$F$3:$F$504,$A49)/SUMIFS('Resultater - Danmark'!I$3:I$504,'Resultater - Danmark'!$F$3:$F$504,$A49)*D22</f>
        <v>75311.342010026739</v>
      </c>
      <c r="E49" s="133">
        <f>SUMIFS('Resultater - Vestdanmark'!J$3:J$504,'Resultater - Vestdanmark'!$F$3:$F$504,$A49)/SUMIFS('Resultater - Danmark'!J$3:J$504,'Resultater - Danmark'!$F$3:$F$504,$A49)*E22</f>
        <v>75243.769743329321</v>
      </c>
      <c r="F49" s="134">
        <f>VLOOKUP(A49,[1]Biogasudbytte!$A$2:$C$18,3,FALSE)</f>
        <v>0.28000000000000003</v>
      </c>
      <c r="G49" s="135">
        <f t="shared" si="11"/>
        <v>51.25</v>
      </c>
      <c r="I49" s="124" t="str">
        <f t="shared" si="13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10277.831749012612</v>
      </c>
      <c r="L49" s="133">
        <f>SUMIFS('Resultater - Østdanmark'!I$3:I$504,'Resultater - Østdanmark'!$F$3:$F$504,$A49)/SUMIFS('Resultater - Danmark'!I$3:I$504,'Resultater - Danmark'!$F$3:$F$504,$A49)*D22</f>
        <v>10365.657989973257</v>
      </c>
      <c r="M49" s="133">
        <f>SUMIFS('Resultater - Østdanmark'!J$3:J$504,'Resultater - Østdanmark'!$F$3:$F$504,$A49)/SUMIFS('Resultater - Danmark'!J$3:J$504,'Resultater - Danmark'!$F$3:$F$504,$A49)*E22</f>
        <v>10433.230256670677</v>
      </c>
      <c r="N49" s="134">
        <f>VLOOKUP(I49,[1]Biogasudbytte!$A$2:$C$18,3,FALSE)</f>
        <v>0.28000000000000003</v>
      </c>
      <c r="O49" s="135">
        <f t="shared" si="12"/>
        <v>51.25</v>
      </c>
    </row>
    <row r="50" spans="1:15" hidden="1" x14ac:dyDescent="0.2">
      <c r="A50" s="124" t="str">
        <f t="shared" si="10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314874.94627501385</v>
      </c>
      <c r="D50" s="133">
        <f>SUMIFS('Resultater - Vestdanmark'!I$3:I$504,'Resultater - Vestdanmark'!$F$3:$F$504,$A50)/SUMIFS('Resultater - Danmark'!I$3:I$504,'Resultater - Danmark'!$F$3:$F$504,$A50)*D23</f>
        <v>314782.00911940058</v>
      </c>
      <c r="E50" s="133">
        <f>SUMIFS('Resultater - Vestdanmark'!J$3:J$504,'Resultater - Vestdanmark'!$F$3:$F$504,$A50)/SUMIFS('Resultater - Danmark'!J$3:J$504,'Resultater - Danmark'!$F$3:$F$504,$A50)*E23</f>
        <v>314661.48085110582</v>
      </c>
      <c r="F50" s="134">
        <f>VLOOKUP(A50,[1]Biogasudbytte!$A$2:$C$18,3,FALSE)</f>
        <v>0.3</v>
      </c>
      <c r="G50" s="135">
        <f t="shared" si="11"/>
        <v>100</v>
      </c>
      <c r="I50" s="124" t="str">
        <f t="shared" si="13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15151.053724986185</v>
      </c>
      <c r="L50" s="133">
        <f>SUMIFS('Resultater - Østdanmark'!I$3:I$504,'Resultater - Østdanmark'!$F$3:$F$504,$A50)/SUMIFS('Resultater - Danmark'!I$3:I$504,'Resultater - Danmark'!$F$3:$F$504,$A50)*D23</f>
        <v>15243.990880599462</v>
      </c>
      <c r="M50" s="133">
        <f>SUMIFS('Resultater - Østdanmark'!J$3:J$504,'Resultater - Østdanmark'!$F$3:$F$504,$A50)/SUMIFS('Resultater - Danmark'!J$3:J$504,'Resultater - Danmark'!$F$3:$F$504,$A50)*E23</f>
        <v>15364.519148894226</v>
      </c>
      <c r="N50" s="134">
        <f>VLOOKUP(I50,[1]Biogasudbytte!$A$2:$C$18,3,FALSE)</f>
        <v>0.3</v>
      </c>
      <c r="O50" s="135">
        <f t="shared" si="12"/>
        <v>100</v>
      </c>
    </row>
    <row r="51" spans="1:15" hidden="1" x14ac:dyDescent="0.2">
      <c r="A51" s="124" t="str">
        <f t="shared" si="10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4141.9679702877811</v>
      </c>
      <c r="D51" s="133">
        <f>SUMIFS('Resultater - Vestdanmark'!I$3:I$504,'Resultater - Vestdanmark'!$F$3:$F$504,$A51)/SUMIFS('Resultater - Danmark'!I$3:I$504,'Resultater - Danmark'!$F$3:$F$504,$A51)*D24</f>
        <v>4123.4286638275544</v>
      </c>
      <c r="E51" s="133">
        <f>SUMIFS('Resultater - Vestdanmark'!J$3:J$504,'Resultater - Vestdanmark'!$F$3:$F$504,$A51)/SUMIFS('Resultater - Danmark'!J$3:J$504,'Resultater - Danmark'!$F$3:$F$504,$A51)*E24</f>
        <v>4092.8191064506923</v>
      </c>
      <c r="F51" s="134">
        <f>VLOOKUP(A51,[1]Biogasudbytte!$A$2:$C$18,3,FALSE)</f>
        <v>0.2</v>
      </c>
      <c r="G51" s="135">
        <f t="shared" si="11"/>
        <v>75.599999999999994</v>
      </c>
      <c r="I51" s="124" t="str">
        <f t="shared" si="13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24503.032029712213</v>
      </c>
      <c r="L51" s="133">
        <f>SUMIFS('Resultater - Østdanmark'!I$3:I$504,'Resultater - Østdanmark'!$F$3:$F$504,$A51)/SUMIFS('Resultater - Danmark'!I$3:I$504,'Resultater - Danmark'!$F$3:$F$504,$A51)*D24</f>
        <v>24521.571336172448</v>
      </c>
      <c r="M51" s="133">
        <f>SUMIFS('Resultater - Østdanmark'!J$3:J$504,'Resultater - Østdanmark'!$F$3:$F$504,$A51)/SUMIFS('Resultater - Danmark'!J$3:J$504,'Resultater - Danmark'!$F$3:$F$504,$A51)*E24</f>
        <v>24552.18089354931</v>
      </c>
      <c r="N51" s="134">
        <f>VLOOKUP(I51,[1]Biogasudbytte!$A$2:$C$18,3,FALSE)</f>
        <v>0.2</v>
      </c>
      <c r="O51" s="135">
        <f t="shared" si="12"/>
        <v>75.599999999999994</v>
      </c>
    </row>
    <row r="52" spans="1:15" hidden="1" x14ac:dyDescent="0.2">
      <c r="A52" s="124" t="str">
        <f t="shared" si="10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1"/>
        <v>47.3</v>
      </c>
      <c r="I52" s="124" t="str">
        <f t="shared" si="13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2"/>
        <v>47.3</v>
      </c>
    </row>
    <row r="53" spans="1:15" hidden="1" x14ac:dyDescent="0.2">
      <c r="A53" s="125" t="str">
        <f t="shared" si="10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1"/>
        <v>423.36</v>
      </c>
      <c r="I53" s="125" t="str">
        <f t="shared" si="13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2"/>
        <v>423.36</v>
      </c>
    </row>
    <row r="54" spans="1:15" hidden="1" x14ac:dyDescent="0.2">
      <c r="A54" s="124" t="str">
        <f t="shared" si="10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1"/>
        <v>25</v>
      </c>
      <c r="I54" s="124" t="str">
        <f t="shared" si="13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2"/>
        <v>25</v>
      </c>
    </row>
    <row r="55" spans="1:15" ht="12.75" hidden="1" thickBot="1" x14ac:dyDescent="0.25">
      <c r="A55" s="139" t="str">
        <f t="shared" si="10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1"/>
        <v>25</v>
      </c>
      <c r="I55" s="139" t="str">
        <f t="shared" si="13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2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10411125.221732087</v>
      </c>
      <c r="D56" s="142">
        <f ca="1">SUM(D39:D55)</f>
        <v>18116646.014117226</v>
      </c>
      <c r="E56" s="142">
        <f ca="1">SUM(E39:E55)</f>
        <v>17798357.505283337</v>
      </c>
      <c r="F56" s="143"/>
      <c r="G56" s="143"/>
      <c r="I56" s="123" t="s">
        <v>104</v>
      </c>
      <c r="J56" s="123" t="s">
        <v>139</v>
      </c>
      <c r="K56" s="142">
        <f ca="1">SUM(K39:K55)</f>
        <v>2679292.2782679098</v>
      </c>
      <c r="L56" s="142">
        <f ca="1">SUM(L39:L55)</f>
        <v>3386546.6110020448</v>
      </c>
      <c r="M56" s="142">
        <f ca="1">SUM(M39:M55)</f>
        <v>3407480.724011682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0.13459391872775978</v>
      </c>
      <c r="D57" s="146">
        <f ca="1">SUMPRODUCT(D39:D55,$F$39:$F$55)/D56</f>
        <v>0.10276916441703211</v>
      </c>
      <c r="E57" s="146">
        <f ca="1">SUMPRODUCT(E39:E55,$F$39:$F$55)/E56</f>
        <v>0.10417489079001155</v>
      </c>
      <c r="I57" s="145" t="s">
        <v>123</v>
      </c>
      <c r="K57" s="146">
        <f ca="1">SUMPRODUCT(K39:K55,$N$39:$N$55)/K56</f>
        <v>0.15233102307854454</v>
      </c>
      <c r="L57" s="146">
        <f ca="1">SUMPRODUCT(L39:L55,$N$39:$N$55)/L56</f>
        <v>0.11925861259142005</v>
      </c>
      <c r="M57" s="146">
        <f ca="1">SUMPRODUCT(M39:M55,$N$39:$N$55)/M56</f>
        <v>0.1198255032664505</v>
      </c>
    </row>
    <row r="58" spans="1:15" hidden="1" x14ac:dyDescent="0.2">
      <c r="A58" s="145" t="s">
        <v>160</v>
      </c>
      <c r="C58" s="146">
        <f ca="1">SUM(C48:C51)/C56</f>
        <v>3.81572085208291E-2</v>
      </c>
      <c r="D58" s="146">
        <f ca="1">SUM(D48:D51)/D56</f>
        <v>2.1916619949419926E-2</v>
      </c>
      <c r="E58" s="146">
        <f ca="1">SUM(E48:E51)/E56</f>
        <v>2.2295935003678827E-2</v>
      </c>
      <c r="I58" s="145" t="s">
        <v>160</v>
      </c>
      <c r="K58" s="146">
        <f ca="1">SUM(K48:K51)/K56</f>
        <v>1.898804560837036E-2</v>
      </c>
      <c r="L58" s="146">
        <f ca="1">SUM(L48:L51)/L56</f>
        <v>1.5082725979461966E-2</v>
      </c>
      <c r="M58" s="146">
        <f ca="1">SUM(M48:M51)/M56</f>
        <v>1.5055984771518755E-2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352020220.2509163</v>
      </c>
      <c r="D59" s="123">
        <f ca="1">SUMPRODUCT(D39:D55,$I$12:$I$28)</f>
        <v>436117381.85566193</v>
      </c>
      <c r="E59" s="123">
        <f ca="1">SUMPRODUCT(E39:E55,$I$12:$I$28)</f>
        <v>434334426.98586208</v>
      </c>
      <c r="I59" s="123" t="s">
        <v>142</v>
      </c>
      <c r="J59" s="123" t="s">
        <v>143</v>
      </c>
      <c r="K59" s="123">
        <f ca="1">SUMPRODUCT(K39:K55,$I$12:$I$28)</f>
        <v>110817068.59908372</v>
      </c>
      <c r="L59" s="123">
        <f ca="1">SUMPRODUCT(L39:L55,$I$12:$I$28)</f>
        <v>103237456.147255</v>
      </c>
      <c r="M59" s="123">
        <f ca="1">SUMPRODUCT(M39:M55,$I$12:$I$28)</f>
        <v>104311718.98447628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12.637525907007896</v>
      </c>
      <c r="D60" s="123">
        <f ca="1">D59*[1]Energiindhold!$C$10</f>
        <v>15.656614008618265</v>
      </c>
      <c r="E60" s="123">
        <f ca="1">E59*[1]Energiindhold!$C$10</f>
        <v>15.59260592879245</v>
      </c>
      <c r="I60" s="123" t="s">
        <v>142</v>
      </c>
      <c r="J60" s="123" t="s">
        <v>122</v>
      </c>
      <c r="K60" s="123">
        <f ca="1">K59*[1]Energiindhold!$C$10</f>
        <v>3.9783327627071059</v>
      </c>
      <c r="L60" s="123">
        <f ca="1">L59*[1]Energiindhold!$C$10</f>
        <v>3.706224675686455</v>
      </c>
      <c r="M60" s="123">
        <f ca="1">M59*[1]Energiindhold!$C$10</f>
        <v>3.744790711542699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6" t="s">
        <v>274</v>
      </c>
    </row>
    <row r="2" spans="1:4" ht="15.75" x14ac:dyDescent="0.25">
      <c r="A2" s="224" t="s">
        <v>311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6"/>
    </row>
    <row r="6" spans="1:4" x14ac:dyDescent="0.25">
      <c r="A6" s="306"/>
    </row>
    <row r="7" spans="1:4" ht="15.75" x14ac:dyDescent="0.25">
      <c r="A7" s="224" t="s">
        <v>297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8">
        <f>SUMIFS('Forbrug af biomasse'!$E$2:$E$403,'Forbrug af biomasse'!$D$2:$D$403,'Forbrug til andet'!B$15,'Forbrug af biomasse'!$C$2:$C$403,'Forbrug til andet'!$A16,'Forbrug af biomasse'!$A$2:$A$403,"Materialer")</f>
        <v>0</v>
      </c>
      <c r="C16" s="348">
        <f>SUMIFS('Forbrug af biomasse'!$E$2:$E$403,'Forbrug af biomasse'!$D$2:$D$403,'Forbrug til andet'!C$15,'Forbrug af biomasse'!$C$2:$C$403,'Forbrug til andet'!$A16,'Forbrug af biomasse'!$A$2:$A$403,"Materialer")</f>
        <v>0</v>
      </c>
      <c r="D16" s="348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8">
        <f>SUMIFS('Forbrug af biomasse'!$E$2:$E$403,'Forbrug af biomasse'!$D$2:$D$403,'Forbrug til andet'!B$15,'Forbrug af biomasse'!$C$2:$C$403,'Forbrug til andet'!$A17,'Forbrug af biomasse'!$A$2:$A$403,"Materialer")</f>
        <v>104190.75509932752</v>
      </c>
      <c r="C17" s="348">
        <f>SUMIFS('Forbrug af biomasse'!$E$2:$E$403,'Forbrug af biomasse'!$D$2:$D$403,'Forbrug til andet'!C$15,'Forbrug af biomasse'!$C$2:$C$403,'Forbrug til andet'!$A17,'Forbrug af biomasse'!$A$2:$A$403,"Materialer")</f>
        <v>0</v>
      </c>
      <c r="D17" s="348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8">
        <f>SUMIFS('Forbrug af biomasse'!$E$2:$E$403,'Forbrug af biomasse'!$D$2:$D$403,'Forbrug til andet'!B$15,'Forbrug af biomasse'!$C$2:$C$403,'Forbrug til andet'!$A18,'Forbrug af biomasse'!$A$2:$A$403,"Materialer")</f>
        <v>0</v>
      </c>
      <c r="C18" s="348">
        <f>SUMIFS('Forbrug af biomasse'!$E$2:$E$403,'Forbrug af biomasse'!$D$2:$D$403,'Forbrug til andet'!C$15,'Forbrug af biomasse'!$C$2:$C$403,'Forbrug til andet'!$A18,'Forbrug af biomasse'!$A$2:$A$403,"Materialer")</f>
        <v>0</v>
      </c>
      <c r="D18" s="348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8">
        <f>SUMIFS('Forbrug af biomasse'!$E$2:$E$403,'Forbrug af biomasse'!$D$2:$D$403,'Forbrug til andet'!B$15,'Forbrug af biomasse'!$C$2:$C$403,'Forbrug til andet'!$A19,'Forbrug af biomasse'!$A$2:$A$403,"Materialer")</f>
        <v>0</v>
      </c>
      <c r="C19" s="348">
        <f>SUMIFS('Forbrug af biomasse'!$E$2:$E$403,'Forbrug af biomasse'!$D$2:$D$403,'Forbrug til andet'!C$15,'Forbrug af biomasse'!$C$2:$C$403,'Forbrug til andet'!$A19,'Forbrug af biomasse'!$A$2:$A$403,"Materialer")</f>
        <v>0</v>
      </c>
      <c r="D19" s="348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8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8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8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826963.57771767024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774548.48763626383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57136.166679995331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53514.728681838846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96082.528886425716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89992.569736434336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183199.16316583334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171587.52645182351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7089.3909762506346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6640.0470430292489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42232.402155780161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39555.603294264722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4122.7627055119856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3861.4513437830055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141182.38207368137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132233.87760057871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2594.265268186527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2429.8340267256312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45881.919721974475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42973.804999470703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48263.74434023608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45204.663414034621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13011.65170779564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12186.939574458089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4786.1029753188222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4482.7473918932728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115361.98566247879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108050.04468539612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20435.609145451021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19490.609878609357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1751.8263067599466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1670.8169977768277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1875.8258257056677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1789.0824349215904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17310.782845959839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16510.284217244931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80.963182498279139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77.219220301826923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1278.1988027243244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1219.0913436388062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33.533953872093285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31.983250802863537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4328.7295130057018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4128.5570499765372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73.74362846793683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70.333518480980217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1304.2225414898148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1243.9116725191875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3219.2058465377545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3070.3408362932341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369.86441635732047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352.76085953154842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607.45375610690382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579.36340900369441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17169.719909137468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16375.744422009724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10092.973017126162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9626.2459411896907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581.14553701562829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554.27175495710208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752.55715483735639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717.75682397782543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17356.343608421324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16553.738123638836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20.173495261269249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19.24061686768454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1067.7890199408878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1018.4114930072051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11.547137405799177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11.013165733854706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1435.9995781110367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1369.5949733428961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41.15138419339192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39.248430011038536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727.79932305426189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694.14386302863124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2315.6141162183199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2208.533694659091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206.39657978861854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196.85222927816218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487.2040481978043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464.67438122911972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18019.370415242949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17186.104731301079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129063.67975940519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164298.16404405597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8917.2052043923359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11351.609114329452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14995.539190367022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19089.332974395165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28591.77691027457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36397.35409584135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1106.4367419581918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1408.4948273092346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6591.1841514801417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8390.5825169652435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643.43695403944287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819.09573959033446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22034.244601094775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28049.610400122754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404.88533087304182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515.41933900240667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7160.7620375335891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9115.6556059483319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7532.4918912507173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9588.867996916435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2030.7202087311116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2585.1083945820187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746.96404817114581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950.88581040160352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18004.47175079149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22919.706448417357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3189.372525590622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4134.3717924322873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273.4064178180264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354.41572680114524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292.75894389626029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379.50233468033741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2701.6828719128071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3502.1815006277125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12.635872413026226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16.37983460947844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199.48767441362287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258.59513349914073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5.2336228586503974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6.7843259278801451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675.58206272343341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875.75452575259862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11.509121205978582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14.919231192935195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203.54918277586708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263.86005174649438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502.41940957525651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651.28441981977687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57.724504286980661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74.828061112752692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94.804921473331831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122.89526857654124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2679.6672690561372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3473.6427561838809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1575.203881285586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2041.9309572220554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90.699014447525812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117.57279650605196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117.4511166509169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152.2514475104478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2708.7935111409006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3511.3989959233891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3.14846457834838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4.0813429719330845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166.64915340117903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216.02668033486168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1.8021543928125885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2.336126064757059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224.11554109247393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290.52014586061432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6.4224703654426705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8.325424547796052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113.58717758650332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147.2426376121339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361.39642276239675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468.47684432162538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32.212182972790174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41.756533483246521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76.037626019310508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98.567292987995089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2812.271683303813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3645.5373672456835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280840.49563485396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265383.49594764173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6120.8727725395029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5783.9899867548611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38827.181018281633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36690.196736516154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23588.479318523863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22290.208153519605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3696.3208792610235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3492.8814481155277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2371.1989189359497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2240.6920243890713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24650.054526295378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23293.356005160073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6971.9527303221239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6588.2279012933241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1622.2425508499273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1532.9569848763078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11583.598619685576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10946.056374089812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35839.312475031358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33866.775571248349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2542.0448455894616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2402.1348718004842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1208.3255485934653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1141.8212946950407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30096.016124097267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28439.580819904713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4071.7505277200084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3883.4614859757307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110.10664288850748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105.01500622314298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444.73793075296811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424.17201487999847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1307.7158631741513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1247.2434533163869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24.766722231733471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23.621440278820938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42.105694503961956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40.158610365050421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117.634451846188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112.19470840821398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125.41647866904403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119.61687271903044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27.054912577351441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25.803818354121319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193.18519775142676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184.2517782022278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1402.515374495272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1337.6591722064732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42.39489404904166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40.434436520762276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89.977799236861017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85.816976150763395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2607.6878360294108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2487.1011152881665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2192.9450163594229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2091.5371543312413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39.831112946175573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37.989211769473805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194.56566660813334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185.5684103487977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1429.782508866725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1363.6653986301135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6.7294128000446527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6.4182260809674432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38.356850193560312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36.583123016979485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44.171196265346403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42.128597594116513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45.369450889867416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43.271441600162568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16.463460920750791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15.702144808808558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117.55709594532664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112.12092965883754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1100.1201725977674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1049.2475634602984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25.798149575247876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24.605171560207509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78.695172178211379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75.056089071704491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2736.7303190386051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2610.1763158460685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43830.597584630392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56293.468837378547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955.28072172581835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1226.9069668873949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6059.733453720256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7782.7690047155465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3681.4389687869621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4728.2259719587037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576.88244936443721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740.91424656996037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370.07150757959914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475.29830820374241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3847.1183364738454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4941.0149101854695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1088.1082295878459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1397.5028881531293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253.1823634274453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325.17269376164109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1807.8448712804081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2321.8907460190512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5593.4187099759929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7183.8614848102561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396.73532272205472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509.54376068495122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188.58260006950039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242.20451705652377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4697.0661002926372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6032.6383557373629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635.47551588693773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823.76455763121555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17.184273745605214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22.275910410969718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69.409966071272493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89.97588194424209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204.09438326995422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264.56679312771843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3.86532659107979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5.01060854399232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6.5714089688264332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8.5184931077379673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18.35913410316229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23.798877541136303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19.573670081295891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25.373276031309484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4.2224430034016702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5.4735372266317945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30.150290978546373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39.083710527745296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218.88968272469563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283.74588501349433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6.6165441579429185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8.5770016862223013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14.042777915579466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18.203601001677082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406.98018250170003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527.56690324294436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342.25153434511225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443.65939637329359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6.2164164713684418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8.0583176480702008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30.365739875257809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39.362996134593452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223.14524704856404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289.2623572851756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1.0502551768855817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1.361441895962791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5.9863292209602808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7.7600563975411037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6.8937705154008846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8.9363691866307757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7.080781352753875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9.1787906424587256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2.569441877805037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3.3307579897472701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18.347061216900691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23.783227503389778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171.6950558389579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222.56766497642693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4.0263008007612289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5.2192788158015926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12.281905484460736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15.920988590967621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427.11976077481125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553.6737639673479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8065001.0864567999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7721242.9104568008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1168595.3908364461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1118785.8228364463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528953.31354319979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872711.48954319966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76643.809163553771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126453.37716355374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922303.28256640851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877744.4345664084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65551.792555521955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62384.816555521953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191667.91743359147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236226.76543359147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13622.607444478052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16789.583444478048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14232454.554315863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13551675.866315866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1194524.6573685941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1137387.1533685941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2787012.6456841351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3467791.3336841348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233912.94263140604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291050.44663140603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37658.711277432194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35652.511073959984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3824.804089596807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36624.011140538823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37658.711277432194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3812.1903739821792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8699.9594896893177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8111.9689677225915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887.24591040319569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8397.0977821480992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8699.9594896893177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884.3198866561213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312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6391729.2665735735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7893966.0004921574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3337.0904542181925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1497865.6247316466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508461.98144503916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1061170.3273835385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53742.432547067721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2838.8656563257464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75311.342010026739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314782.00911940058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4123.4286638275544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6119291.7094537346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7743127.1535502924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3446.2126889929687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1554136.2730559006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505095.54922592157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1111191.0910754299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53519.00366190957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2832.9524091506291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75243.769743329321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314661.48085110582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4092.8191064506923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926143.13133016659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561055.81698105508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280.08077006114183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1267572.2425659813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217506.01855496093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143222.04383687259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22191.567452932264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947.1343436742535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10365.657989973257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15243.990880599462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24521.571336172448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886667.7152542026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550335.09529335448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289.23935894742124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1326833.4967577588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217936.45077407858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150823.24280639994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22414.996338090419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953.04759084937086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10433.230256670677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15364.519148894226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24552.18089354931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4703372.1615964994</v>
      </c>
      <c r="G203" s="314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618468.71483434096</v>
      </c>
      <c r="G204" s="314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51598.780380153592</v>
      </c>
      <c r="G206" s="314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672934.09412450308</v>
      </c>
      <c r="G207" s="314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4525643.0291759707</v>
      </c>
      <c r="G208" s="314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171279.2848730098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9790151.9274066389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1212571.3389336092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31532.588010093863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3862742.0312364982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4703372.1615964994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618468.71483434096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51598.780380153592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672934.09412450308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4525643.0291759707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171279.2848730098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9790151.9274066389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1212571.3389336092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31532.588010093863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3862742.0312364982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577297.28616440261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75911.558427530035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6333.2934029920762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82596.701464021666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555482.60888742993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21023.015601598698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1201654.4608093714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148832.39497031379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3870.3459684951581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474117.38114065683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577297.28616440273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75911.55842753005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6333.293402992078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82596.70146402168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555482.60888743005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21023.015601598701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1201654.4608093717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148832.39497031382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3870.345968495159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474117.381140657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 s="168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 s="168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2328677.081002241</v>
      </c>
      <c r="F281" s="168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 s="168">
        <v>1</v>
      </c>
      <c r="G285" s="168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 s="168">
        <v>1</v>
      </c>
      <c r="G287" s="168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 s="168">
        <v>1</v>
      </c>
    </row>
    <row r="291" spans="1:7" x14ac:dyDescent="0.25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 s="168">
        <v>1</v>
      </c>
    </row>
    <row r="292" spans="1:7" x14ac:dyDescent="0.25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 s="168">
        <v>1</v>
      </c>
    </row>
    <row r="293" spans="1:7" x14ac:dyDescent="0.25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681614.98381741357</v>
      </c>
      <c r="F293" s="168">
        <v>1</v>
      </c>
    </row>
    <row r="294" spans="1:7" x14ac:dyDescent="0.25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 s="168">
        <v>1</v>
      </c>
      <c r="G297" s="168">
        <v>1</v>
      </c>
    </row>
    <row r="298" spans="1:7" x14ac:dyDescent="0.25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187416.40966897184</v>
      </c>
      <c r="F299" s="168">
        <v>1</v>
      </c>
      <c r="G299" s="168">
        <v>1</v>
      </c>
    </row>
    <row r="300" spans="1:7" x14ac:dyDescent="0.25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1390100.5457177102</v>
      </c>
      <c r="F302" s="168">
        <v>1</v>
      </c>
    </row>
    <row r="303" spans="1:7" x14ac:dyDescent="0.25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162889.29909228458</v>
      </c>
      <c r="F303" s="168">
        <v>1</v>
      </c>
    </row>
    <row r="304" spans="1:7" x14ac:dyDescent="0.25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176446.6832046808</v>
      </c>
      <c r="F304" s="168">
        <v>1</v>
      </c>
    </row>
    <row r="305" spans="1:7" x14ac:dyDescent="0.25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2203754.2205130709</v>
      </c>
      <c r="F305" s="168">
        <v>1</v>
      </c>
    </row>
    <row r="306" spans="1:7" x14ac:dyDescent="0.25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8">
        <v>1</v>
      </c>
    </row>
    <row r="307" spans="1:7" x14ac:dyDescent="0.25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</row>
    <row r="308" spans="1:7" x14ac:dyDescent="0.25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605942.81758342392</v>
      </c>
      <c r="F311" s="168">
        <v>1</v>
      </c>
      <c r="G311" s="168">
        <v>1</v>
      </c>
    </row>
    <row r="312" spans="1:7" x14ac:dyDescent="0.25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753475.91282974416</v>
      </c>
      <c r="F314" s="168">
        <v>1</v>
      </c>
    </row>
    <row r="315" spans="1:7" x14ac:dyDescent="0.25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64956.455108856775</v>
      </c>
      <c r="F315" s="168">
        <v>1</v>
      </c>
    </row>
    <row r="316" spans="1:7" x14ac:dyDescent="0.25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40614.954242467749</v>
      </c>
      <c r="F316" s="168">
        <v>1</v>
      </c>
    </row>
    <row r="317" spans="1:7" x14ac:dyDescent="0.25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645049.46160507516</v>
      </c>
      <c r="F317" s="168">
        <v>1</v>
      </c>
    </row>
    <row r="318" spans="1:7" x14ac:dyDescent="0.25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8">
        <v>1</v>
      </c>
    </row>
    <row r="319" spans="1:7" x14ac:dyDescent="0.25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</row>
    <row r="320" spans="1:7" x14ac:dyDescent="0.25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177362.37762242398</v>
      </c>
      <c r="F323" s="168">
        <v>1</v>
      </c>
      <c r="G323" s="168">
        <v>1</v>
      </c>
    </row>
    <row r="324" spans="1:7" x14ac:dyDescent="0.25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1309294.2821530737</v>
      </c>
      <c r="F326" s="168">
        <v>1</v>
      </c>
    </row>
    <row r="327" spans="1:7" x14ac:dyDescent="0.25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168414.8808021411</v>
      </c>
      <c r="F327" s="168">
        <v>1</v>
      </c>
    </row>
    <row r="328" spans="1:7" x14ac:dyDescent="0.25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183249.6836740704</v>
      </c>
      <c r="F328" s="168">
        <v>1</v>
      </c>
    </row>
    <row r="329" spans="1:7" x14ac:dyDescent="0.25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2001119.0505128279</v>
      </c>
      <c r="F329" s="168">
        <v>1</v>
      </c>
    </row>
    <row r="330" spans="1:7" x14ac:dyDescent="0.25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8">
        <v>1</v>
      </c>
    </row>
    <row r="331" spans="1:7" x14ac:dyDescent="0.25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</row>
    <row r="332" spans="1:7" x14ac:dyDescent="0.25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551632.61779012682</v>
      </c>
      <c r="F335" s="168">
        <v>1</v>
      </c>
      <c r="G335" s="168">
        <v>1</v>
      </c>
    </row>
    <row r="336" spans="1:7" x14ac:dyDescent="0.25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731480.16342047986</v>
      </c>
      <c r="F338" s="168">
        <v>1</v>
      </c>
    </row>
    <row r="339" spans="1:7" x14ac:dyDescent="0.25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67729.865689932136</v>
      </c>
      <c r="F339" s="168">
        <v>1</v>
      </c>
    </row>
    <row r="340" spans="1:7" x14ac:dyDescent="0.25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42440.412782955995</v>
      </c>
      <c r="F340" s="168">
        <v>1</v>
      </c>
    </row>
    <row r="341" spans="1:7" x14ac:dyDescent="0.25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585276.82167847839</v>
      </c>
      <c r="F341" s="168">
        <v>1</v>
      </c>
    </row>
    <row r="342" spans="1:7" x14ac:dyDescent="0.25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8">
        <v>1</v>
      </c>
    </row>
    <row r="343" spans="1:7" x14ac:dyDescent="0.25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</row>
    <row r="344" spans="1:7" x14ac:dyDescent="0.25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161253.53800096706</v>
      </c>
      <c r="F347" s="168">
        <v>1</v>
      </c>
      <c r="G347" s="168">
        <v>1</v>
      </c>
    </row>
    <row r="348" spans="1:7" x14ac:dyDescent="0.25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5668137.2741312822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2492831.3685764708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3337.0904542181925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401728.76679519669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14170678.526299225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812928.99314271065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5426541.7046099147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2445198.048489566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3446.2126889929687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420665.19876426988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13769740.953721102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785628.01869998709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821296.73910410993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177175.52115191214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280.08077006114183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54219.773738244621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2648926.4790757964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392543.73090939765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786290.23805561347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173790.03009263825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289.23935894742124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57097.370490994261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2636205.4397722334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381219.06515677791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68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6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68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68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 s="168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509029.05966338929</v>
      </c>
      <c r="G393" s="168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526296.50250669091</v>
      </c>
      <c r="G394" s="168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 s="168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202988.92221517742</v>
      </c>
      <c r="G396" s="168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211655.83028103792</v>
      </c>
      <c r="G397" s="168">
        <v>1</v>
      </c>
    </row>
    <row r="398" spans="1:7" x14ac:dyDescent="0.25">
      <c r="A398" t="s">
        <v>313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313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8">
        <v>1</v>
      </c>
    </row>
    <row r="400" spans="1:7" x14ac:dyDescent="0.25">
      <c r="A400" s="168" t="s">
        <v>313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8">
        <v>1</v>
      </c>
    </row>
    <row r="401" spans="1:7" x14ac:dyDescent="0.25">
      <c r="A401" s="168" t="s">
        <v>313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313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8">
        <v>1</v>
      </c>
    </row>
    <row r="403" spans="1:7" x14ac:dyDescent="0.25">
      <c r="A403" s="168" t="s">
        <v>313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8">
        <v>1</v>
      </c>
    </row>
    <row r="404" spans="1:7" x14ac:dyDescent="0.25">
      <c r="A404" s="168" t="s">
        <v>120</v>
      </c>
      <c r="B404" s="168" t="s">
        <v>23</v>
      </c>
      <c r="C404" s="168" t="s">
        <v>309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120</v>
      </c>
      <c r="B405" s="168" t="s">
        <v>23</v>
      </c>
      <c r="C405" s="168" t="s">
        <v>310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120</v>
      </c>
      <c r="B406" s="168" t="s">
        <v>23</v>
      </c>
      <c r="C406" s="168" t="s">
        <v>309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8">
        <v>1</v>
      </c>
    </row>
    <row r="407" spans="1:7" x14ac:dyDescent="0.25">
      <c r="A407" s="168" t="s">
        <v>120</v>
      </c>
      <c r="B407" s="168" t="s">
        <v>23</v>
      </c>
      <c r="C407" s="168" t="s">
        <v>310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8">
        <v>1</v>
      </c>
    </row>
    <row r="408" spans="1:7" x14ac:dyDescent="0.25">
      <c r="A408" s="168" t="s">
        <v>120</v>
      </c>
      <c r="B408" s="168" t="s">
        <v>23</v>
      </c>
      <c r="C408" s="168" t="s">
        <v>309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8">
        <v>1</v>
      </c>
    </row>
    <row r="409" spans="1:7" x14ac:dyDescent="0.25">
      <c r="A409" s="168" t="s">
        <v>120</v>
      </c>
      <c r="B409" s="168" t="s">
        <v>23</v>
      </c>
      <c r="C409" s="168" t="s">
        <v>310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8">
        <v>1</v>
      </c>
    </row>
    <row r="410" spans="1:7" x14ac:dyDescent="0.25">
      <c r="A410" s="168" t="s">
        <v>120</v>
      </c>
      <c r="B410" s="168" t="s">
        <v>24</v>
      </c>
      <c r="C410" s="168" t="s">
        <v>309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120</v>
      </c>
      <c r="B411" s="168" t="s">
        <v>24</v>
      </c>
      <c r="C411" s="168" t="s">
        <v>310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120</v>
      </c>
      <c r="B412" s="168" t="s">
        <v>24</v>
      </c>
      <c r="C412" s="168" t="s">
        <v>309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8">
        <v>1</v>
      </c>
    </row>
    <row r="413" spans="1:7" x14ac:dyDescent="0.25">
      <c r="A413" s="168" t="s">
        <v>120</v>
      </c>
      <c r="B413" s="168" t="s">
        <v>24</v>
      </c>
      <c r="C413" s="168" t="s">
        <v>310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8">
        <v>1</v>
      </c>
    </row>
    <row r="414" spans="1:7" x14ac:dyDescent="0.25">
      <c r="A414" s="168" t="s">
        <v>120</v>
      </c>
      <c r="B414" s="168" t="s">
        <v>24</v>
      </c>
      <c r="C414" s="168" t="s">
        <v>309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8">
        <v>1</v>
      </c>
    </row>
    <row r="415" spans="1:7" x14ac:dyDescent="0.25">
      <c r="A415" s="168" t="s">
        <v>120</v>
      </c>
      <c r="B415" s="168" t="s">
        <v>24</v>
      </c>
      <c r="C415" s="168" t="s">
        <v>310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>E2-D2</f>
        <v>1162838.9310658472</v>
      </c>
      <c r="G2">
        <f>IF(F2&gt;=0,IF(H2&gt;=0,F2,F2+H2),IF(F2+H2&gt;0,0,F2+H2))</f>
        <v>1162838.9310658472</v>
      </c>
      <c r="H2">
        <f t="shared" ref="H2:H37" si="1">SUMIFS($F$2:$F$37,$C$2:$C$37,C2,$A$2:$A$37,A2,$B$2:$B$37,"&lt;&gt;"&amp;B2)</f>
        <v>732655.58820898295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si="2"/>
        <v>2328677.081002241</v>
      </c>
      <c r="G5">
        <f t="shared" ca="1" si="3"/>
        <v>2328677.081002241</v>
      </c>
      <c r="H5">
        <f t="shared" ca="1" si="1"/>
        <v>681614.98381741357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117628.54342759639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si="2"/>
        <v>732655.58820898295</v>
      </c>
      <c r="G8">
        <f t="shared" si="3"/>
        <v>732655.58820898295</v>
      </c>
      <c r="H8">
        <f t="shared" si="1"/>
        <v>1162838.9310658472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681614.98381741357</v>
      </c>
      <c r="F11">
        <f t="shared" ca="1" si="2"/>
        <v>681614.98381741357</v>
      </c>
      <c r="G11">
        <f t="shared" ca="1" si="3"/>
        <v>681614.98381741357</v>
      </c>
      <c r="H11">
        <f t="shared" si="1"/>
        <v>2328677.081002241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672211.14738140872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2062311.693099119</v>
      </c>
      <c r="F14">
        <f>E14-D14</f>
        <v>1390100.5457177102</v>
      </c>
      <c r="G14">
        <f t="shared" si="3"/>
        <v>1390100.5457177102</v>
      </c>
      <c r="H14">
        <f t="shared" si="1"/>
        <v>753475.91282974416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162889.29909228458</v>
      </c>
      <c r="F15">
        <f t="shared" si="2"/>
        <v>162889.29909228458</v>
      </c>
      <c r="G15">
        <f t="shared" si="3"/>
        <v>162889.29909228458</v>
      </c>
      <c r="H15">
        <f t="shared" si="1"/>
        <v>64956.455108856775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176446.6832046808</v>
      </c>
      <c r="F16">
        <f t="shared" si="2"/>
        <v>176446.6832046808</v>
      </c>
      <c r="G16">
        <f t="shared" si="3"/>
        <v>176446.6832046808</v>
      </c>
      <c r="H16">
        <f t="shared" si="1"/>
        <v>40614.954242467749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2203754.2205130709</v>
      </c>
      <c r="F17">
        <f t="shared" ca="1" si="2"/>
        <v>2203754.2205130709</v>
      </c>
      <c r="G17">
        <f t="shared" ca="1" si="3"/>
        <v>2203754.2205130709</v>
      </c>
      <c r="H17">
        <f t="shared" ca="1" si="1"/>
        <v>645049.46160507516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98103.125880462292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851579.0387102064</v>
      </c>
      <c r="F20">
        <f t="shared" si="2"/>
        <v>753475.91282974416</v>
      </c>
      <c r="G20">
        <f t="shared" si="3"/>
        <v>753475.91282974416</v>
      </c>
      <c r="H20">
        <f t="shared" si="1"/>
        <v>1390100.5457177102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64956.455108856775</v>
      </c>
      <c r="F21">
        <f t="shared" si="2"/>
        <v>64956.455108856775</v>
      </c>
      <c r="G21">
        <f t="shared" si="3"/>
        <v>64956.455108856775</v>
      </c>
      <c r="H21">
        <f t="shared" si="1"/>
        <v>162889.29909228458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40614.954242467749</v>
      </c>
      <c r="F22">
        <f t="shared" si="2"/>
        <v>40614.954242467749</v>
      </c>
      <c r="G22">
        <f t="shared" si="3"/>
        <v>40614.954242467749</v>
      </c>
      <c r="H22">
        <f t="shared" si="1"/>
        <v>176446.6832046808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645049.46160507516</v>
      </c>
      <c r="F23">
        <f t="shared" ca="1" si="2"/>
        <v>645049.46160507516</v>
      </c>
      <c r="G23">
        <f t="shared" ca="1" si="3"/>
        <v>645049.46160507516</v>
      </c>
      <c r="H23">
        <f t="shared" ca="1" si="1"/>
        <v>2203754.2205130709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671987.71849625057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1981282.0006493244</v>
      </c>
      <c r="F26">
        <f t="shared" si="2"/>
        <v>1309294.2821530737</v>
      </c>
      <c r="G26">
        <f t="shared" si="3"/>
        <v>1309294.2821530737</v>
      </c>
      <c r="H26">
        <f t="shared" si="1"/>
        <v>731480.16342047986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168414.8808021411</v>
      </c>
      <c r="F27">
        <f t="shared" si="2"/>
        <v>168414.8808021411</v>
      </c>
      <c r="G27">
        <f t="shared" si="3"/>
        <v>168414.8808021411</v>
      </c>
      <c r="H27">
        <f t="shared" si="1"/>
        <v>67729.865689932136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183249.6836740704</v>
      </c>
      <c r="F28">
        <f t="shared" si="2"/>
        <v>183249.6836740704</v>
      </c>
      <c r="G28">
        <f t="shared" si="3"/>
        <v>183249.6836740704</v>
      </c>
      <c r="H28">
        <f t="shared" si="1"/>
        <v>42440.412782955995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2001119.0505128279</v>
      </c>
      <c r="F29">
        <f t="shared" ca="1" si="2"/>
        <v>2001119.0505128279</v>
      </c>
      <c r="G29">
        <f t="shared" ca="1" si="3"/>
        <v>2001119.0505128279</v>
      </c>
      <c r="H29">
        <f t="shared" ca="1" si="1"/>
        <v>585276.82167847839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98326.554765620473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829806.71818610036</v>
      </c>
      <c r="F32">
        <f t="shared" si="2"/>
        <v>731480.16342047986</v>
      </c>
      <c r="G32">
        <f t="shared" si="3"/>
        <v>731480.16342047986</v>
      </c>
      <c r="H32">
        <f t="shared" si="1"/>
        <v>1309294.2821530737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67729.865689932136</v>
      </c>
      <c r="F33">
        <f t="shared" si="2"/>
        <v>67729.865689932136</v>
      </c>
      <c r="G33">
        <f t="shared" si="3"/>
        <v>67729.865689932136</v>
      </c>
      <c r="H33">
        <f t="shared" si="1"/>
        <v>168414.8808021411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42440.412782955995</v>
      </c>
      <c r="F34">
        <f t="shared" si="2"/>
        <v>42440.412782955995</v>
      </c>
      <c r="G34">
        <f t="shared" si="3"/>
        <v>42440.412782955995</v>
      </c>
      <c r="H34">
        <f t="shared" si="1"/>
        <v>183249.6836740704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585276.82167847839</v>
      </c>
      <c r="F35">
        <f t="shared" ca="1" si="2"/>
        <v>585276.82167847839</v>
      </c>
      <c r="G35">
        <f t="shared" ca="1" si="3"/>
        <v>585276.82167847839</v>
      </c>
      <c r="H35">
        <f t="shared" ca="1" si="1"/>
        <v>2001119.0505128279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 s="168">
        <f>SUMIF($F$3:$F$494,"Roer",I3:I494)</f>
        <v>396405.63727863086</v>
      </c>
      <c r="O3" s="168">
        <f>SUMIF($F$3:$F$494,"Roer",J3:J494)</f>
        <v>410082.28428580571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-94146.778193580481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-89131.277684899964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-21036.42249278244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-201432.06127296353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-527221.95788405067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7271.6553271470366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3798.6259171663623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-55276.760422741601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-38813.330425298955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11179450.521719089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10702943.763836339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12059866.540704856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11545833.414063649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1545987.8753404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1480092.5373921432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126364.07464315755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120978.00174055072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-6899366479.4311991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-6605291672.6084795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-529870.57138021174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-507285.65921701177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903477.64426614856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864968.30946007557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250001.99508437468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412474.2353108211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270982.38903804816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447089.44687999511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8287.7479220134319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13673.82082462027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-452503691.13680112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-746578497.95952106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-30547.05385711979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-50399.088521119782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65181.298474246374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107541.56676092674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320710.24991141836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305215.91139179375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9306493.1916532889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8856872.5263272319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182381.20793873124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173569.90185730331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3483702.3515116847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3315395.7147551631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39686.364587318778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37769.014057677145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-2414589993.7588573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-2297934929.6948571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-10099.220944102173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-9611.3015585021712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2611702.7463139286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2485524.6572905863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19991.394030461786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24638.981899308401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1080304.1774153388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1331452.6757126269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8919.2373366675656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10992.77653969144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412642.87678260863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508573.85715239123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8247.3986537220499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10164.749183363683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-501786607.84114248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-618441671.90514243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-2530.0165101234074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-3118.1933037234076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453873.49996140599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559389.75206455449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75949470.02073957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72316591.351941347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4834.1004940422599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4602.8717499465147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107141.30412896334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102016.43152338694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158277.5242695417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150706.6611481533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6684.6952383134503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6364.9472962665268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-263015760.16375715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-250434970.00951719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-6233.8150947903478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-5935.6340294463489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10156.003135680934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9670.2126865601167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1041493.740480428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1295897.5887379702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1840.0804143941255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2289.5536280394222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6928.640984266608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8621.0879583398764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12756.03561276813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15871.930046182108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1309.0033128596663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1628.7512549065907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-51503993.692242816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-64084783.846482813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-2299.2854326894117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-2860.9278502894113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2187.6339015735002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2722.0033956064012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6214399.736746531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6244022.6330797393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1881131.2635953818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1761900.2995081528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-132314172.43482724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-123927758.02180222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1880262.4287722919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1761086.533682955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184281.45690900442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188548.26184369114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55782.959670682772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53203.400841980692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-2656629.1889086328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-2533779.2842192166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326800.01566744345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311687.87621461373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106184.21266776162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108642.77431686094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32142.515868179707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30656.156752888157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-1009297.3017126161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-962624.59411896905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413324.34625662811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394211.08168984758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649817.86842627032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887408.06512557517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196703.26334358647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250403.4062028254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-13835626.470208237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-17612763.185522802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293451.36171590682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373563.81017517229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19269.662170427113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26796.707516573075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5833.0274014026099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7561.3318166330127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-277794.34697894321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-360103.78312085225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51003.470653300428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66115.610106130174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11103.308711906404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15440.442774123569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3361.029549453011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4356.8901566983468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-105538.66004613426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-136809.37413387772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64507.267912884156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83620.532479664631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156675.25321712089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157422.09522610626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-1417878.195250127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-1328009.4086058498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16119.108331603318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15097.437561574092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2147.1396617863825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2196.8539751960898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-15787.820587164431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-15057.747958856249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1294.7384695314279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1234.8661703623445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624.16679859959925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638.61859435269787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-3832.9640996411572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-3655.7172048600628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826.13881226341437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787.93586140730258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13937.758075210928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19033.762422792846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-126133.78858323385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-160568.41031325271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2515.6989881693048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3202.4867554854131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191.00855141556323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265.6196170009818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-1404.4772187078649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-1820.6186168435286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202.0690096956564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261.94130886473977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55.525589771374761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77.214793680826205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-340.97871383512955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-442.00944386035303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128.93495913937682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167.13790999548843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17647.925975881906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16533.609281297191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-15100108.073421385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-14146664.448417395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3269.8124452342795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3063.3515500069948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1569.9513339238299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1999.0636676477511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-1343298.6315026309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-1710460.3378541032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510.31754925621709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649.80184394087769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1922790.7700315742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1931956.3586747211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-6334860.3233670238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-5933340.4941397086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96023.574906978174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89937.352412659035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69833.835671808629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71450.750144107937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-153383.85632691893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-146290.96123665673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20440.564594053238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19495.336173518979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68061.220151157191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69637.091944623404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-96101.0117946799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-91657.034370648456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43727.769593576064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41705.676201965609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171050.57775020768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233591.08700339808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-563546.24495155201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-717394.80520052824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14986.338280279833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19077.620208745855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6212.3857282608933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8639.0452446966883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-13644.956929891803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-17687.907131341224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3190.145919303106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4135.374339837359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6054.6946712503432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8419.757480577191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-8549.1015694804846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-11082.168701178403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6824.5651966852829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8846.6585882957352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9744847.1345814336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9791299.0219204035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-28395870.290704168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-26596066.600032642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416538.90541820513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390137.59242427361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1104967.4880519807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1130551.617946377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-2250401.7699747789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-2146336.948241841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276828.74853449984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264027.41912249982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1292521.632190679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1322448.3419688835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-1822416.0788842391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-1738142.5029820777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710771.67878912971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677903.62427864969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1186280.2349958671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1620014.9290813759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-3456745.8284521955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-4400440.1101872195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65008.962117292132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82756.45899908834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134512.22715823533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187054.90406021872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-273950.64321195864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-355121.20416365005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43204.486765499976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56005.816177499961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157343.96285511967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218805.08930757892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-221850.18856243978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-287583.57776612556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110929.68397286996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143797.73848334991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236424.88682848631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237551.88061868263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65094.663336851867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60968.795239932173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129910.18036001583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121676.13718140961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8698.7005335217436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8900.1079837576071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2395.005831634247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2284.2541168765943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28014.670882625895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26719.194772446663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3366.6272367387924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3444.5772483564065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926.93061841314909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884.06677478710742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23798.894414892213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22698.367505533035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21032.248602834708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28722.181929349812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5790.7911488679201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7371.6816062827083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20274.999246938889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25810.089705147493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773.83237694161642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1076.103965308874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213.05861126503504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276.18708867689719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4372.2318718549086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5667.7079820341396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299.49360215843939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416.48070366491089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82.459319175597486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106.89171004244116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3714.2783190872242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4814.8052284464011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359109.12270091596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360820.9295953415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-556572.96524411801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-521295.93141070573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9373.9023420017202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8779.7601706785827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3505.1298216897758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3586.2866861446109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-3521.0651565697949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-3358.2413343006715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536.2647412558714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511.46637171802763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1408.122599232624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1440.7259037420754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-866.03530543493821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-825.98743003910295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472.8748418616467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451.00779715128152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31946.181493451426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43626.530578345824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-49512.473613335118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-63029.417161476231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1462.9789782314824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1862.373369537881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311.81472806824075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433.6146629611211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-313.23232809022625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-406.04190678362664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83.694497190222705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108.49286672806649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125.26593527277505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174.19685927063279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-77.042100292738141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-99.869389268364259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73.801275897482441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95.668320607847605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23611.134600040677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23723.684519935698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-363197.13754611381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-340176.76374158839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5099.532625437414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4776.3110602590896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805.39369308319704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824.04156922686036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-10324.107985511157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-9846.6925873372311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786.23202827454259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749.87447783410141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524.34237790428756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536.48286497788456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-5761.1937870748689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-5494.7802015453954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1172.8841750790289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1118.6467565782646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2100.4356155758728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2868.409128319498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-32309.849403668737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-41130.463252392052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795.8808143746254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1013.1568915701099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71.647450500291356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99.63411700652037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-918.42787223709081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-1190.5546491962284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122.70673273648933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159.06428317693056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46.645255467901656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64.865655492780576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-512.51313516232506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-664.36887891412493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183.05128744007968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237.28870594084398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1465525.9344250732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1472511.8260104496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-6519056.0938305408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-6105861.4603414629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104321.46244127344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97709.298376715073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49990.200158944463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51147.660254506249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-163027.81768622686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-155488.95906489843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20856.728270690244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19892.255287074509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32545.54964654355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33299.100840262043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-78541.676946272433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-74909.691885173132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29804.615438580942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28426.36732581419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130372.50942660045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178040.06623580892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-579932.2155147515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-738254.15838674048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16281.384311643833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20726.214807181987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4447.105089284134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6184.2171034993917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-14502.87927278053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-18800.028686937723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3255.0963197031019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4219.5693033188363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2895.23704659136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4026.1640106862287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-6987.0312612897851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-9057.2627461163866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4651.5873805877773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6029.8354933545252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6736477.8295787275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6768589.3758020224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-22589181.131789017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-21157420.416092593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321005.58690910961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300659.4226911976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247852.94000256414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253591.66252634884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-562734.83669074124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-536712.41649694985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69223.719371501356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66022.622521952173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95925.644905560737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98146.682344222601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-143599.95781110367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-136959.4973342896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58806.615834641227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56087.234755582664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872626.98358878167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1191681.9476790831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-2926147.6830253857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-3724988.2611363013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50099.13784130611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63776.241176920703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32106.26812403158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44647.501796305645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-72895.30456785846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-94493.913328705385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10803.701867228539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14004.798716777732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12425.97515799778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17279.764376361614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-18601.589910675335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-24113.17210643099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9177.9111418226184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11897.292220881171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453202.07225149294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455362.4028663577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224487.22049024503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210258.63993220514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-16814442.555124499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-15748699.703876009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218462.30474282522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204615.59892527328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10617.474305626194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10863.308544843896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5259.2153510144653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5016.0146411409642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-271994.74472732184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-259416.95306363062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29997.63329132109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28610.459497502768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4969.5262231115803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5084.5893410589151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2461.5843511867993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2347.7538609585076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-86544.072806295982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-82542.034757449932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30818.490598963846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29393.358085716962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38902.027589217752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53125.613667741745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19269.567770405429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24530.174658757271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-1443320.647072826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-1837348.2987855349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34095.272994544983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43403.308862936763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911.38435513612126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1267.385996898455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451.44131770268683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585.20170813311256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-23347.525775726757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-30265.311190756907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4681.7115541368175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6068.8853479551335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426.57493880466461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593.20208979020674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211.29784748626571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273.90461711182587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-7428.7831281704948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-9629.9040550358241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4809.8222322082302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6234.9547454551121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739287.56503731327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742811.6123833562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113902.43664295714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106683.0056571217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-7239561.6510354122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-6780699.512105193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109737.00366015306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102781.58858856659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59172.835862800064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60542.90831769428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9116.79095739492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8695.2052483824373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-434592.78928259684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-414496.01289958658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51480.556003854072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49099.952258011108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49657.701509185827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50807.463017470509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7650.7890399853277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7296.995327153636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-277873.69394619839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-265024.04335909092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94828.321560407567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90443.196863972538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65766.679918637281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89812.676769987607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10132.708092110464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12898.945229451987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-644028.05670193618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-819848.21373635507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17126.584386266662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21802.155155150489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5263.9881151936006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7320.1880056848522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811.02550771276185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1051.3293618498765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-38661.173566815982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-50116.336105131821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8034.5376422199997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10415.141388062961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4417.526163158208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6143.0841648396154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680.61065505996646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882.27307137403056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-24719.515316947934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-32043.816151599171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14799.795850468234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19184.920546903264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697424.53153784631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700749.02553134004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-1431281.6878575203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-1340563.3531903897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25576.930473696462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23955.798478397919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23789.679260102854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24340.499307676837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-36986.441635732044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-35276.085953154841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3943.3813646101412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3761.0284691368397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15487.999347337936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15846.604456892053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-18575.692180975668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-17716.700635034598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5882.6522356295336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5610.6220744443526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62042.563817152914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84726.92763242565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-127326.15708744069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-162086.29634029255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3991.7752762416449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5081.5330105692556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2116.3188659709995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2942.9876435645629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-3290.2967443578973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-4265.1994834269026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615.44102222239212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797.79391769569327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1377.8052598585596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1915.9985388787666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-1652.4849865041358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-2142.1101676905464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918.10179399998492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1190.1319551851657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125139.08267175067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125735.59757749423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-574332.35703825869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-537929.68702719279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9408.0156607896133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8811.7112991047452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19059.23199648588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19500.524498173127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-72894.450732828453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-69523.609080443333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6476.4862899928639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6176.9955945018646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17834.044769152795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18246.969604362992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-58464.485783736513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-55760.925747494366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13886.140876335476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13244.007194192796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11132.314926695046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15202.576798006121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-51092.340894906367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-65040.589431469671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1468.3030222041596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1869.1508816282796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1695.5004648896979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2357.7906893245686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-6484.656628775896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-8406.0363706354201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1010.7810972821235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1310.2717927731228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1586.5083757067139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2206.2245067093427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-5200.9736197208385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-6742.0028403788629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2167.2011772315486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2809.3348593742294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1705382.3906101447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1713511.6336433543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-5768099.2831239393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-5402502.2342698062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226766.40543867301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212393.36424463548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304581.49086046818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311633.69149972947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-858485.99545687344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-818787.22110048623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183058.30604655392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174593.18206752255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372929.46673372143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381564.17863387341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-900968.5207621475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-859305.23656505393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513582.58826976421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489833.10441913927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266157.94535534055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363472.16471222666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-900223.58753957448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-1145985.3224208679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35391.288710081921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45053.137870074192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47535.839614061515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66104.116378730483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-133983.36345280687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-173682.13780919404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28569.793429230966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37034.917408262358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58202.864750349589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80937.856073851945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-140613.58416519064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-182276.86836228418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80154.507995859152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103903.99184648409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605942.81758342392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551632.61779012682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656438.05238204252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597602.00260597083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-469132.82551179174</v>
      </c>
      <c r="I425" s="338">
        <f t="shared" ref="I425:J425" ca="1" si="0">SUMIFS(I3:I424,$F$3:$F$424,$D$425)*I423/SUM(I423:I424)</f>
        <v>-443965.99796390499</v>
      </c>
      <c r="J425" s="339">
        <f t="shared" ca="1" si="0"/>
        <v>-420246.69324787147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2502141.5052936058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2455663.5565474145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97408.630707357341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95599.239297688866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12799.494074946755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12561.740043716316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1296795.0922933305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1272706.7760624508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1102410.4206254377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1072120.6999068451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21120.452678686721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20540.149189969037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98317.201590938494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95615.847791748558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97009.626395618849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94344.199404397878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84934.510833187902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82230.492590145455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41193.926040245511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39882.455279742353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5437.460580082532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5264.3508222216306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55888.835329455884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54109.529970176744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145303.11165081069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138927.00099994309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535.94813157761189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512.42995257070322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4232533290.6275983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4232533290.6275983</v>
      </c>
      <c r="N440" s="168"/>
      <c r="O440" s="168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117530555.31034985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117530555.31034985</v>
      </c>
      <c r="M441" s="168"/>
      <c r="N441" s="168"/>
      <c r="O441" s="168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55898678.745166384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55898678.745166384</v>
      </c>
      <c r="M443" s="168"/>
      <c r="N443" s="168"/>
      <c r="O443" s="168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102480911.03280504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102480911.03280504</v>
      </c>
      <c r="M444" s="168"/>
      <c r="N444" s="168"/>
      <c r="O444" s="168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1198954994.1110687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1198954994.1110687</v>
      </c>
      <c r="M445" s="168"/>
      <c r="N445" s="168"/>
      <c r="O445" s="168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172712584.32801408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172712584.32801408</v>
      </c>
      <c r="M446" s="168"/>
      <c r="N446" s="168"/>
      <c r="O446" s="168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8"/>
      <c r="N447" s="168"/>
      <c r="O447" s="168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8"/>
      <c r="N448" s="168"/>
      <c r="O448" s="168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1628228180.8848464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1628228180.8848464</v>
      </c>
      <c r="M449" s="168"/>
      <c r="N449" s="168"/>
      <c r="O449" s="168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116813905.5828477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116813905.5828477</v>
      </c>
      <c r="M450" s="168"/>
      <c r="N450" s="168"/>
      <c r="O450" s="168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0</v>
      </c>
      <c r="M451" s="168"/>
      <c r="N451" s="168"/>
      <c r="O451" s="168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0</v>
      </c>
      <c r="M452" s="168"/>
      <c r="N452" s="168"/>
      <c r="O452" s="168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86714617.027758121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86714617.027758121</v>
      </c>
      <c r="M453" s="168"/>
      <c r="N453" s="168"/>
      <c r="O453" s="168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2870898808.3735456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2870898808.3735456</v>
      </c>
      <c r="M454" s="168"/>
      <c r="N454" s="168"/>
      <c r="O454" s="168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8543101.6798546687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8631034.6670590751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8595151.9881026763</v>
      </c>
      <c r="L455" s="129"/>
      <c r="M455" s="123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271259.74236183573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270827.7836134762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270263.65983297006</v>
      </c>
      <c r="L456" s="124"/>
      <c r="M456" s="123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3864207.3728631018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3859706.2780138706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3856243.1993456278</v>
      </c>
      <c r="L457" s="124"/>
      <c r="M457" s="123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76700751.198882878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73431500.513444811</v>
      </c>
      <c r="L458" s="124"/>
      <c r="M458" s="123"/>
    </row>
    <row r="459" spans="1:15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-81351.373701752236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-77883.897437456471</v>
      </c>
      <c r="L459" s="124"/>
      <c r="M459" s="123"/>
    </row>
    <row r="460" spans="1:15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111304920.60693942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109178092.86505912</v>
      </c>
      <c r="L460" s="124"/>
      <c r="M460" s="123"/>
    </row>
    <row r="461" spans="1:15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-232290.64387442611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-227852.00645500762</v>
      </c>
      <c r="L461" s="124"/>
      <c r="M461" s="123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43715.884950258318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45145.386225807888</v>
      </c>
      <c r="L462" s="124"/>
      <c r="M462" s="123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63670219.643012308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66671465.464525796</v>
      </c>
      <c r="L463" s="124"/>
      <c r="M463" s="123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31487494.627501383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31478200.911940057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31466148.085110582</v>
      </c>
      <c r="L464" s="125"/>
      <c r="M464" s="123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313132.77855375624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311731.2069853631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309417.12444767234</v>
      </c>
      <c r="L465" s="124"/>
      <c r="M465" s="123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4"/>
      <c r="M466" s="123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52165656.986353792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51820277.872833423</v>
      </c>
      <c r="L467" s="124"/>
      <c r="M467" s="123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4"/>
      <c r="M470" s="123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5"/>
      <c r="M471" s="123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20820332.183769889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21602494.19547702</v>
      </c>
      <c r="L473" s="139"/>
      <c r="M473" s="123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9570947.4163383078</v>
      </c>
      <c r="I474" s="282">
        <f ca="1">SUMIFS('Forbrug af biomasse'!$E$1:$E$425,'Forbrug af biomasse'!$A$1:$A$425,"Biogas",'Forbrug af biomasse'!$B$1:$B$425,$A$1,'Forbrug af biomasse'!$D$1:$D$425,I$2)*'[1]Processer - data'!I474</f>
        <v>16654632.680777963</v>
      </c>
      <c r="J474" s="283">
        <f ca="1">SUMIFS('Forbrug af biomasse'!$E$1:$E$425,'Forbrug af biomasse'!$A$1:$A$425,"Biogas",'Forbrug af biomasse'!$B$1:$B$425,$A$1,'Forbrug af biomasse'!$D$1:$D$425,J$2)*'[1]Processer - data'!J474</f>
        <v>16362030.054606972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30041127.552895796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28760671.034432545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19942650.948611766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19561584.387916528</v>
      </c>
      <c r="M476" s="168"/>
      <c r="N476" s="168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23359.633179527347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24123.488822950781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5624202.7351327538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5889312.7826997787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49011407.308287665</v>
      </c>
      <c r="I479" s="282">
        <f ca="1">I474*'[1]Processer - data'!I$479*Biogasanlæg!AB$3</f>
        <v>99194749.684094578</v>
      </c>
      <c r="J479" s="283">
        <f ca="1">J474*'[1]Processer - data'!J$479*Biogasanlæg!AC$3</f>
        <v>96388186.676047713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91199509.604784429</v>
      </c>
      <c r="I480" s="282">
        <f ca="1">-SUMIFS('Resultater - Vestdanmark'!I$3:I$504,'Resultater - Vestdanmark'!$F$3:$F$504,"Gødning",'Resultater - Vestdanmark'!$A$3:$A$504,"&lt;&gt;Gødning")-SUM(I475:I479)</f>
        <v>130068638.9028337</v>
      </c>
      <c r="J480" s="283">
        <f ca="1">-SUMIFS('Resultater - Vestdanmark'!J$3:J$504,'Resultater - Vestdanmark'!$F$3:$F$504,"Gødning",'Resultater - Vestdanmark'!$A$3:$A$504,"&lt;&gt;Gødning")-SUM(J475:J479)</f>
        <v>125700482.99199793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12.018877995102612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14.367810032463249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13.532612141270118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2.8290779018212735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5.7011254682299599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5.8945208280749375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3.146524797754445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3.2466189709661259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3.3717941796028947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33.750841721162331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31.9402636353806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29.003356837261759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12.632071606880629</v>
      </c>
      <c r="I489" s="282">
        <f ca="1">SUM(I455:I473)*'[1]Processer - data'!$H$489</f>
        <v>15.645354260187279</v>
      </c>
      <c r="J489" s="283">
        <f ca="1">SUM(J455:J473)*'[1]Processer - data'!$H$489</f>
        <v>15.581630009842709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254514.52983169464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263148.25125334546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162889.29909228458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168414.8808021411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2233316.4654569654</v>
      </c>
      <c r="N3" s="168">
        <f>SUMIF($F$3:$F$494,"Roer",I3:I494)</f>
        <v>2357380.2059099637</v>
      </c>
      <c r="O3" s="168">
        <f>SUMIF($F$3:$F$494,"Roer",J3:J494)</f>
        <v>2460019.4054890401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-21749.898724223294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-20279.92241930648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-4879.8525072175762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-46184.037801814542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-121799.43285565045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1686.8174943707857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881.17331795488803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-12822.638356513758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-9003.5902185527648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1619870.1291811671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1550825.6746305928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1747439.8704342765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1672957.9533098161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224009.18314141617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214461.13877310805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18309.789870119137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17529.363444725979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-999698298.99885452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-957087707.86189473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-76776.717177954502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-73504.228560354517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130911.30422612706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125331.41270768401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36224.567861015261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59766.326756290277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39264.566418903487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64781.971051799803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1200.8707647098604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1981.2971901030198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-65566479.42514535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-108177070.56210533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-4426.1799791952308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-7302.6825311952289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9444.5821084449508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15582.462778732337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22794.163449276428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21692.918681289459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661449.78842651786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629493.44484708668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12962.563762711534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12336.308907816358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247600.69511628913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235638.46756389324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2820.6690661142875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2684.3952757559205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-171614592.91035649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-163323449.74235648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-717.79212848296538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-683.11374128296541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185624.18661968777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176656.20388227972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1420.8685354930128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1751.1912412893646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76781.549706449339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94631.680538906046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633.92596198919023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781.30070765217795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29328.183873637823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36146.383313793289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586.17569284488786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722.44948320325477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-35663986.289643541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-43955129.457643531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-179.81841826711027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-221.62250146711023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32258.609590036394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39758.072727427665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6374410.9849512335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6069504.8192194803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405.72427013864109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386.31732699607659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8992.3301083624119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8562.2014422302946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13284.174189749368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12648.754442470523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561.0440039478965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534.20767719482114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-22074815.668171618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-21018914.594251622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-523.2017999274442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-498.17557317544419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852.38959447123887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811.61738138779606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87412.185210291747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108764.20629093802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154.43726998364264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192.16139089876592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581.51828036235077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723.56473019319401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1070.6093605689982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1332.1252302502314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109.86416487898698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136.70049163206232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-4322711.179828384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-5378612.2537483834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-192.97817767090999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-240.11661847090997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183.60730587631363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228.45674026810067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2110437.6893571499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2139389.0525819138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638840.51324290596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603679.78048941819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-44934479.301576629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-42461359.351622678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638545.45308679249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603400.95995975356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36717.678150801716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37567.829723032017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11114.632985014139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10600.661517499037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-529327.56860360107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-504849.99317684502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65114.189979946008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62103.129171624809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23071.114882671071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23605.297477497814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6983.7469957339208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6660.7991577809062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-219294.50163594229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-209153.71543312413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89804.814074651469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85651.990302413236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220681.0277483864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304052.56535179319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66801.299910775546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85795.702136223394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-4698640.0610723784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-6034659.8593669804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99657.382851695962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127994.14302176591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3839.4381372716944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5339.1854970006107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1162.2179809185307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1506.5788641536506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-55349.917433752278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-71749.892969678884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10162.330228084058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13173.391036405261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2412.46513426312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3354.8134899837805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730.26579857125216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946.64084999977126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-22930.852801122521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-29725.17955701067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14015.780231303987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18168.604003542201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81688.541606747705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82809.15969051524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-739264.17585220467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-698576.28962310555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8404.3039635946952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7941.7448748747347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656.81226892645657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672.01992941072331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-4829.5108351880272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-4606.1808543700827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396.06185241428909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377.74685345871495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208.20765015981513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213.02843595151901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-1278.588432008484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-1219.4629553838142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275.58085626007312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262.83723284920268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7266.9748862881333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10012.38021712593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-65764.599227545827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-84464.224108975468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1311.6543758211374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1684.6125492158526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58.429715715480711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81.25331873784198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-429.63105059851864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-556.92913966474634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61.813121475062452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80.1281204306365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18.522056277222863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25.757074528683667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-113.74263565670849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-147.44415733277026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43.00972901168771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55.753352422558144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9149.2922196303825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8646.4101160167411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-7828415.730014883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-7398134.3403981645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1695.183309682802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1602.0091790156257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813.91680497174309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1045.4295867547512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-696412.24326548586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-894501.69752086885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264.5661812799749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339.82012888210238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107957.85137727187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109438.83657003562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-355679.83784039243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-336103.80365836067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5391.3816261722823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5094.6488351230255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2300.4263065885743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2353.6897791130073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-5052.6833404754343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-4819.0332438060505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673.34139763807184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642.20422318082001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2444.8781328294485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2501.4862053769511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-3452.116517420428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-3292.4810715281537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1570.7780060261071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1498.1408727994663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9603.8805358162681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13232.150239831579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-31641.113898055723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-40638.005351419968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841.42950235058754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1080.6830862382176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204.64486045316855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284.58249147457263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-449.48437346772795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-582.66492856927687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105.0879637932251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136.22513825047696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217.4952281170244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302.45242301375868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-307.0986890352624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-398.09089319385862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245.1503246399127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317.78745786655344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1254733.488537685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1271946.1478642891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-3656214.2943711989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-3454982.2637955388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53632.992564074986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50681.120728736016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83473.030958534262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85405.743811911569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-170003.06221263966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-162141.6489311303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20912.592403393461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19945.536107282776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106475.46878142231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108940.7740988422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-150127.16343100613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-143184.86685616191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58552.016315086679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55844.408624215619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152743.85704395178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210449.27173754602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-445085.97132634372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-571642.52000980731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8370.4670475723979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10750.540760640972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10161.514635761452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14130.768521607186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-20695.170463573359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-26827.072823150651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3263.8149993735456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4230.8712954842258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12961.695795010139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18024.746259990257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-18275.595733277398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-23690.587061655882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9138.175956689829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11845.783647560889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25327.681862946665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25675.131551204828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6973.4491410265291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6589.6419520099453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13916.993947018183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13151.025454476832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546.7349756894555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559.39393514943799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150.53207661173718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143.57105572795743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1760.7917809028779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1679.367883520086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230.74514243513437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236.08775546257186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63.530864135827713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60.593020707581324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1631.1515636885752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1555.7225896451725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2253.1388663049083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3104.3568148274931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620.3548108693542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796.74761783392978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2172.0163963554387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2789.6114600405404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48.637290611911681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67.635812158977487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13.391263925171302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17.359045828925758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274.80565366692315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356.22955104971516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20.526981168073512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28.545155887747324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5.651676295088949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7.3262470491893783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254.57278739648279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330.00176143988506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2147118.3494584323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2176572.9045657483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-3327757.3610498761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-3144603.0606966098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56046.690134647288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52961.972348766089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12295.717552332431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12580.409399291899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-12351.61744384974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-11780.444382862468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1881.1742010109242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1794.1834865133092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5386.4830312954264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5511.2002587584502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-3312.8397199009801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-3159.6448195587386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1808.8853293046807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1725.2374528050423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191006.65548072415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263167.45118840405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-296035.75599166239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-380211.0973387718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8747.1712926906166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11234.357770950381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1093.821347574544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1521.0858637325659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-1098.7941760742631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-1424.3628208370076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293.59366142945061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380.58437592706565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479.17903960483591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666.35421310443064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-294.70868953338777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-382.02978272846559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282.31158318627968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365.95945968591809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14764.483683199427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14967.025521839831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-227113.95711898981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-214613.9778826831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3188.8330449009477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3013.3249107688525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295.48120169039657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302.32269660055618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-3787.6877608292016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-3612.5345695769847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288.45120903875943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275.11242480575322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209.77399465233506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214.63104717712326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-2304.8845289051105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-2198.3002732331984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469.23653139427989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447.53773225466006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1313.4416409505154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1809.6494494588158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-20203.952601510133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-25948.780962178957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497.67914573598608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639.19013258733241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26.285871063671696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36.553562407158154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-336.95095167145325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-436.78827068521719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45.018396786395982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58.357181019402198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18.661397558956281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25.950844795052177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-205.04146184884195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-265.79448758183213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73.233447096217105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94.932246235836985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369994.63610039954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375070.28896377306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-1645836.3038803258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-1555252.1764852609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26337.562936791448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24887.986723946331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7404.6923712171629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7576.1386929431028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-24148.149718928344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-23031.472275278473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3089.3586387630558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2946.4981236757467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5256.8890643319037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5378.6057067820857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-12686.369937433166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-12099.716992349551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4814.16226388218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4591.5420435870501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32914.551731706066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45349.40766561983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-146412.83651282205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-188044.1267932179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4110.4867011177412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5279.2699111401307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658.71800920827809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916.02404196493887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-2148.2082322214292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-2784.7143751018525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482.15423841966771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625.0147535069766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467.65042023160692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650.3223263654703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-1128.5736031046038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-1462.9657818022636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751.34324349606277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973.96346379119223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332664.77238055575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337228.32746955071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-1115512.4368515399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-1054116.4642069319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15852.089653308292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14979.616670881189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7181.054595695291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7347.3228665191818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-16304.142226975724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-15550.193453473958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2005.6219955216116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1912.8764697171441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3030.7069040692845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3100.8791036534094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-4536.9450889867412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-4327.144160016257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1857.9558864624912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1772.038851250353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43092.586988718227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59372.623715093621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-144500.77288926591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-185588.38354673554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2474.0255528284615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3177.4944453384337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930.21637855220513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1293.5741168023164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-2111.9990017718264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-2737.7764837782929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313.01614959007816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405.7616753945457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392.59041456758769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545.9426543098881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-587.70485227857159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-761.83962332407418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289.96999384096688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375.88702905310515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183140.04742703083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185652.39548677174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90715.825731113204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85722.975655196336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-6794756.6781992856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-6420784.428890327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88281.142786605342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83422.293661750213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2517.28784613072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2575.5724743513506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1246.9028416934816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1189.2425946787539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-64486.999959180379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-61504.942157599777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7112.1130622293786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6783.2292212014299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1284.8182707601406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1314.5666189108829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636.41651284853981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606.98684751450321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-22375.051659935336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-21340.367190111734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7967.7937133423466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7599.3408248640881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15720.40291497924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21659.446140123368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7786.8786826996029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10001.013826439572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-583249.34492057469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-749091.51670387143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13777.981822186963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17695.638049462163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216.0793324568856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300.48345534099093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107.03183352108788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138.74496937918795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-5535.4447941839817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-7175.5765850533071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1109.9829634693251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1438.8668044972728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110.28642381958436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153.36610553960301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54.628816276305301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70.815132210025382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-1920.6330471100566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-2489.7095055130362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1243.5284986141237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1611.9813870923822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548974.35776007047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556505.28658717766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84580.777441073995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79925.590348146099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-5375896.871254704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-5080016.3356872527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81487.642909030197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77002.696861241566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25779.902251146392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26376.803404338643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3971.9235405706099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3788.2507756887321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-189339.57555686173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-180583.98824787387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22428.5972146278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21391.436649789521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23591.771518611426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24138.009261800737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3634.7970502630228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3466.7139496728255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-132014.42071173209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-125909.70761523581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45051.785075729109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42968.465534654933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48836.505005361192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67286.548287358761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7524.2668486597049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9663.7304693667556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-478237.29970294732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-614220.15695127682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12717.724615860207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16333.905394808817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2293.3681829199013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3189.1953207063993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353.34048144151262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458.03395742418303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-16843.561085665326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-21834.245851788386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3500.4169063291943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4537.577471167474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2098.7130848059528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2918.5047561995439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323.34986476039262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419.15723209680527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-11743.94181938472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-15223.6282843876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7031.2034511253523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9114.5229921995324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136253.60372359515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138122.75512852785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-279624.93301484076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-264234.83589805325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4996.8832348706519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4721.8629874386206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2726.8395852343597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2789.9761199325972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-4239.4894049041659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-4043.4436520762274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452.00140309281039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431.09960410585961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1935.8931441266006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1980.7163105967043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-2321.833461772309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-2214.4654404186758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735.29097444038996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701.28907966857992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12121.057579804215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16700.296756449272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-24875.304734672831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-31948.393794946438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779.86038925726939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1001.6073003657681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242.57838853616644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337.33347631912306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-377.14301700274632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-488.88909611467113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70.543571580958854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91.44537056790962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172.2161588907999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239.48660846305606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-206.54923107905103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-267.74900325062168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114.75639485485854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148.75828962666847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31593.29239249256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32026.694851202359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-144999.06583121585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-137018.55536340488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2375.1987249589538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2244.4716876569978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2823.1083155682445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2888.4738314159385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-10797.335908423322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-10298.037138091608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959.31579532237879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914.95437126122829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2880.6271806112104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2947.3244733035172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-9443.4206613853657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-9006.730688604539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2242.9457456200262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2139.2257111404874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2810.5246816211588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3872.318559281739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-12899.049844753825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-16566.788966666223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370.69575476238015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476.10005495754496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251.14241026933686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349.24274507119975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-960.52600942563538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-1245.1263085147123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149.71980620638283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194.08123026753324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256.25926190524001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356.35832268124341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-840.08233513711423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-1088.9956196221851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350.05511636844341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453.77515084798222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444905.79484059504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451009.09243245889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-1504800.8062048634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-1421979.0409952356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59159.569378889595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55903.523831334234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46258.963628978956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47330.031644156865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-130384.39180147054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-124355.05576440833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27802.370713555119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26516.711952234655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56639.458258193183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57950.87354678283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-136836.51595193025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-130508.81579230343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78001.451119469319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74394.447599493855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69436.164512694028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95668.595364460954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-234853.30501463186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-301631.91778686817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9232.9963770521335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11858.323236949684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7219.6070403608792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10039.703682093879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-20349.009125085002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-26378.34516214722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4339.0983194565806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5624.7570807770471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8839.6842368278394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12292.609540226662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-21355.988038740561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-27683.688198367396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12173.636879917178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15780.640399892638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187416.40966897184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177362.37762242398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161253.53800096706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203034.44380805286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192142.57575762598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174691.33283438097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-137317.43481230648</v>
      </c>
      <c r="I425" s="338">
        <f t="shared" ref="I425:J425" ca="1" si="0">SUMIFS(I3:I424,$F$3:$F$424,$D$425)*I423/SUM(I423:I424)</f>
        <v>-129950.98332286018</v>
      </c>
      <c r="J425" s="339">
        <f t="shared" ca="1" si="0"/>
        <v>-121876.74474075671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177837.22990030446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174533.85571503793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6923.221974748174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6794.6212719421637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909.71136748191009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892.81323513320024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92168.427114874314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90456.37389070644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159736.08962264023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155347.1964728414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3060.2926630894976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2976.2083616824511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14245.87887682287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13854.46050441212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14056.415003223578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13670.202321642862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6036.6362564051497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5844.4508372651044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2927.8175036130328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2834.6060179118035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386.46212662561334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374.15852199671258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3972.2436306328855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3845.7812640674751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12195.236527675561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11660.091914249606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44.981928858219973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43.008056775021096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519505983.86209995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519505983.86210006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14425834.973481953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14425834.973481957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6861067.8532414157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6861067.8532414176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12578624.397609264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12578624.397609266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147161109.21119085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147161109.21119091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21198940.418348476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21198940.41834848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199850591.82774997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199850591.82775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14337872.565107062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14337872.565107064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10643451.413361685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10643451.413361687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352377407.94980913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352377407.94980925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3651898.7201453252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3563965.7329409216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3599848.4118973212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89924.65763816431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90356.61638652379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90920.740167029988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526738.87713689636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531239.97198612941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534703.0506543722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11113717.575962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10640012.583050432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-11787.579360122158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-11285.152052691872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7910887.0194328763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7759724.8436362976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-16509.827502157474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-16194.355742654174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3669.0580878009578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3789.0356022112182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8593322.6302123554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9049394.5683839954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1515105.3724986184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1524399.0880599462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1536451.9148894225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1852429.2214462431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1853830.793014637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1856144.8755523276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22315029.973646216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22359190.167166591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17619254.17166714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18442985.604932848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2463073.3914116896</v>
      </c>
      <c r="I474" s="282">
        <f ca="1">SUMIFS('Forbrug af biomasse'!$E$1:$E$425,'Forbrug af biomasse'!$A$1:$A$425,"Biogas",'Forbrug af biomasse'!$B$1:$B$425,$A$1,'Forbrug af biomasse'!$D$1:$D$425,I$2)*'[1]Processer - data'!I474</f>
        <v>3113252.2994941799</v>
      </c>
      <c r="J474" s="283">
        <f ca="1">SUMIFS('Forbrug af biomasse'!$E$1:$E$425,'Forbrug af biomasse'!$A$1:$A$425,"Biogas",'Forbrug af biomasse'!$B$1:$B$425,$A$1,'Forbrug af biomasse'!$D$1:$D$425,J$2)*'[1]Processer - data'!J474</f>
        <v>3132497.0295839394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4352872.7172517823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4167338.2616947512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1417404.1692152971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1390320.240741106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1960.565390427993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2024.6755126319485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759076.83233542473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799363.18687391968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12613034.84027173</v>
      </c>
      <c r="I479" s="282">
        <f ca="1">I474*'[1]Processer - data'!I$479*Biogasanlæg!AB$3</f>
        <v>18542485.353530575</v>
      </c>
      <c r="J479" s="283">
        <f ca="1">J474*'[1]Processer - data'!J$479*Biogasanlæg!AC$3</f>
        <v>18453438.078405634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59971256.963903613</v>
      </c>
      <c r="I480" s="282">
        <f ca="1">-SUMIFS('Resultater - Østdanmark'!I$3:I$504,'Resultater - Østdanmark'!$F$3:$F$504,"Gødning",'Resultater - Østdanmark'!$A$3:$A$504,"&lt;&gt;Gødning")-SUM(I475:I479)</f>
        <v>62806996.945503622</v>
      </c>
      <c r="J480" s="283">
        <f ca="1">-SUMIFS('Resultater - Østdanmark'!J$3:J$504,'Resultater - Østdanmark'!$F$3:$F$504,"Gødning",'Resultater - Østdanmark'!$A$3:$A$504,"&lt;&gt;Gødning")-SUM(J475:J479)</f>
        <v>60995050.425084464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7.5725862730126234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7.7877811162107218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7.5604373100324374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1.1214882290282282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2.2734759288099871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2.3705452991476244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0.71503055390133141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0.74731515806140647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0.78090359520639019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9.8790337317585379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9.3490688161811804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8.4827499410238172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3.9778561239632375</v>
      </c>
      <c r="I489" s="282">
        <f ca="1">SUM(I455:I473)*'[1]Processer - data'!$H$489</f>
        <v>3.7052087987801001</v>
      </c>
      <c r="J489" s="283">
        <f ca="1">SUM(J455:J473)*'[1]Processer - data'!$H$489</f>
        <v>3.743804197212846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101494.46110758871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105827.91514051896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64956.455108856775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67729.865689932136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55" zoomScale="80" zoomScaleNormal="80" workbookViewId="0">
      <selection activeCell="J7" sqref="J7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13910380.018766832</v>
      </c>
      <c r="N3" s="98">
        <f ca="1">SUMIF($F$3:$F$509,$L$3,I$3:I$509)</f>
        <v>12063115.323943416</v>
      </c>
      <c r="O3" s="98">
        <f ca="1">SUMIF($F$3:$F$509,$L$3,J$3:J$509)</f>
        <v>11118898.871126572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1109014.829074967</v>
      </c>
      <c r="O4" s="98">
        <f t="shared" si="0"/>
        <v>1113423.7517074186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3283459.0424850588</v>
      </c>
      <c r="O5" s="98">
        <f t="shared" si="0"/>
        <v>3261328.6859648484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13379.633937601986</v>
      </c>
      <c r="O6" s="98">
        <f t="shared" si="0"/>
        <v>13432.290203822415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5792.400747147125</v>
      </c>
      <c r="N7" s="98">
        <f>SUMIFS(I$3:I$509,$F$3:$F$509,$L$3,$C$3:$C$509,$L7)+SUMIFS(I$3:I$509,$F$3:$F$509,$L$3,$C$3:$C$509,"",$A$3:$A$509,"Grøntsager I drivhus")</f>
        <v>5739.8794854532734</v>
      </c>
      <c r="O7" s="98">
        <f>SUMIFS(J$3:J$509,$F$3:$F$509,$L$3,$C$3:$C$509,$L7)+SUMIFS(J$3:J$509,$F$3:$F$509,$L$3,$C$3:$C$509,"",$A$3:$A$509,"Grøntsager I drivhus")</f>
        <v>5654.9827018456008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1473136.3400311922</v>
      </c>
      <c r="N8" s="98">
        <f>SUMIFS(I$3:I$509,$F$3:$F$509,$L$3,$C$3:$C$509,$L8)+SUMIFS(I$3:I$509,$F$3:$F$509,$L$3,$C$3:$C$509,"",$A$3:$A$509,"Grøntsager I drivhus")</f>
        <v>1363675.1710503832</v>
      </c>
      <c r="O8" s="98">
        <f>SUMIFS(J$3:J$509,$F$3:$F$509,$L$3,$C$3:$C$509,$L8)</f>
        <v>1357935.2915649298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2862788.0827837912</v>
      </c>
      <c r="N9" s="98">
        <f>SUMIFS(I$3:I$509,$F$3:$F$509,$L$3,$C$3:$C$509,$L9)+SUMIFS(I$3:I$509,$F$3:$F$509,$L$3,$C$3:$C$509,"",$A$3:$A$509,"Grøntsager I drivhus")</f>
        <v>2591274.9767722865</v>
      </c>
      <c r="O9" s="98">
        <f>SUMIFS(J$3:J$509,$F$3:$F$509,$L$3,$C$3:$C$509,$L9)</f>
        <v>2585535.0972868335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1724391.5316257188</v>
      </c>
      <c r="I11" s="276">
        <f>'Resultater - Vestdanmark'!I11+'Resultater - Østdanmark'!I11</f>
        <v>1631885.8233455163</v>
      </c>
      <c r="J11" s="277">
        <f>'Resultater - Vestdanmark'!J11+'Resultater - Østdanmark'!J11</f>
        <v>1476221.0184099278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2113608.4683742807</v>
      </c>
      <c r="I12" s="276">
        <f>'Resultater - Vestdanmark'!I12+'Resultater - Østdanmark'!I12</f>
        <v>2000223.0539784776</v>
      </c>
      <c r="J12" s="277">
        <f>'Resultater - Vestdanmark'!J12+'Resultater - Østdanmark'!J12</f>
        <v>1809422.7375158332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-562410</v>
      </c>
      <c r="I13" s="276">
        <f>'Resultater - Vestdanmark'!I13+'Resultater - Østdanmark'!I13</f>
        <v>-532239.27923287847</v>
      </c>
      <c r="J13" s="277">
        <f>'Resultater - Vestdanmark'!J13+'Resultater - Østdanmark'!J13</f>
        <v>-481469.23000787059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-1263438.0423418714</v>
      </c>
      <c r="I14" s="276">
        <f>'Resultater - Vestdanmark'!I14+'Resultater - Østdanmark'!I14</f>
        <v>-1195660.3776807606</v>
      </c>
      <c r="J14" s="277">
        <f>'Resultater - Vestdanmark'!J14+'Resultater - Østdanmark'!J14</f>
        <v>-1081606.9084991238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-115896.67691780378</v>
      </c>
      <c r="J17" s="277">
        <f ca="1">'Resultater - Vestdanmark'!J17+'Resultater - Østdanmark'!J17</f>
        <v>-109411.20010420645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-25916.275000000016</v>
      </c>
      <c r="J21" s="277">
        <f ca="1">'Resultater - Vestdanmark'!J21+'Resultater - Østdanmark'!J21</f>
        <v>-247616.09907477809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-649021.39073970111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8958.472821517822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4679.7992351212506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-68099.398779255367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-47816.920643851721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0</v>
      </c>
      <c r="J33" s="277">
        <f ca="1">'Resultater - Vestdanmark'!J33+'Resultater - Østdanmark'!J33</f>
        <v>0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>
        <f ca="1">'Resultater - Vestdanmark'!H35+'Resultater - Østdanmark'!H35</f>
        <v>0</v>
      </c>
      <c r="I35" s="276">
        <f ca="1">'Resultater - Vestdanmark'!I35+'Resultater - Østdanmark'!I35</f>
        <v>0</v>
      </c>
      <c r="J35" s="277">
        <f ca="1"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>
        <f ca="1">'Resultater - Vestdanmark'!H36+'Resultater - Østdanmark'!H36</f>
        <v>0</v>
      </c>
      <c r="I36" s="276">
        <f ca="1">'Resultater - Vestdanmark'!I36+'Resultater - Østdanmark'!I36</f>
        <v>0</v>
      </c>
      <c r="J36" s="277">
        <f ca="1"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0</v>
      </c>
      <c r="J37" s="277">
        <f ca="1">'Resultater - Vestdanmark'!J37+'Resultater - Østdanmark'!J37</f>
        <v>0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0</v>
      </c>
      <c r="J38" s="277">
        <f ca="1"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0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0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0</v>
      </c>
      <c r="J49" s="277">
        <f ca="1">'Resultater - Vestdanmark'!J49+'Resultater - Østdanmark'!J49</f>
        <v>0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0</v>
      </c>
      <c r="J53" s="277">
        <f ca="1">'Resultater - Vestdanmark'!J53+'Resultater - Østdanmark'!J53</f>
        <v>0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0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0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0</v>
      </c>
      <c r="J65" s="277">
        <f ca="1">'Resultater - Vestdanmark'!J65+'Resultater - Østdanmark'!J65</f>
        <v>0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>
        <f ca="1">'Resultater - Vestdanmark'!H67+'Resultater - Østdanmark'!H67</f>
        <v>0</v>
      </c>
      <c r="I67" s="276">
        <f ca="1">'Resultater - Vestdanmark'!I67+'Resultater - Østdanmark'!I67</f>
        <v>0</v>
      </c>
      <c r="J67" s="277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>
        <f ca="1">'Resultater - Vestdanmark'!H68+'Resultater - Østdanmark'!H68</f>
        <v>0</v>
      </c>
      <c r="I68" s="276">
        <f ca="1">'Resultater - Vestdanmark'!I68+'Resultater - Østdanmark'!I68</f>
        <v>0</v>
      </c>
      <c r="J68" s="277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0</v>
      </c>
      <c r="J69" s="277">
        <f ca="1">'Resultater - Vestdanmark'!J69+'Resultater - Østdanmark'!J69</f>
        <v>0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0</v>
      </c>
      <c r="J70" s="277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0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0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12799320.650900256</v>
      </c>
      <c r="J95" s="277">
        <f>'Resultater - Vestdanmark'!J95+'Resultater - Østdanmark'!J95</f>
        <v>12253769.438466933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13807306.411139132</v>
      </c>
      <c r="J96" s="277">
        <f>'Resultater - Vestdanmark'!J96+'Resultater - Østdanmark'!J96</f>
        <v>13218791.367373465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1769997.0584818162</v>
      </c>
      <c r="J97" s="277">
        <f>'Resultater - Vestdanmark'!J97+'Resultater - Østdanmark'!J97</f>
        <v>1694553.6761652513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144673.8645132767</v>
      </c>
      <c r="J98" s="277">
        <f>'Resultater - Vestdanmark'!J98+'Resultater - Østdanmark'!J98</f>
        <v>138507.36518527669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-7899064778.4300537</v>
      </c>
      <c r="J99" s="277">
        <f>'Resultater - Vestdanmark'!J99+'Resultater - Østdanmark'!J99</f>
        <v>-7562379380.4703741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-606647.28855816624</v>
      </c>
      <c r="J100" s="277">
        <f>'Resultater - Vestdanmark'!J100+'Resultater - Østdanmark'!J100</f>
        <v>-580789.88777736633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1034388.9484922757</v>
      </c>
      <c r="J101" s="277">
        <f>'Resultater - Vestdanmark'!J101+'Resultater - Østdanmark'!J101</f>
        <v>990299.72216775955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286226.56294538995</v>
      </c>
      <c r="J102" s="277">
        <f>'Resultater - Vestdanmark'!J102+'Resultater - Østdanmark'!J102</f>
        <v>472240.56206711137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310246.95545695163</v>
      </c>
      <c r="J104" s="277">
        <f>'Resultater - Vestdanmark'!J104+'Resultater - Østdanmark'!J104</f>
        <v>511871.41793179489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9488.6186867232918</v>
      </c>
      <c r="J105" s="277">
        <f>'Resultater - Vestdanmark'!J105+'Resultater - Østdanmark'!J105</f>
        <v>15655.11801472329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-518070170.56194645</v>
      </c>
      <c r="J106" s="277">
        <f>'Resultater - Vestdanmark'!J106+'Resultater - Østdanmark'!J106</f>
        <v>-854755568.52162635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-34973.233836315019</v>
      </c>
      <c r="J107" s="277">
        <f>'Resultater - Vestdanmark'!J107+'Resultater - Østdanmark'!J107</f>
        <v>-57701.771052315009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74625.88058269133</v>
      </c>
      <c r="J108" s="277">
        <f>'Resultater - Vestdanmark'!J108+'Resultater - Østdanmark'!J108</f>
        <v>123124.02953965908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343504.41336069477</v>
      </c>
      <c r="J109" s="277">
        <f>'Resultater - Vestdanmark'!J109+'Resultater - Østdanmark'!J109</f>
        <v>326908.83007308323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9967942.9800798073</v>
      </c>
      <c r="J110" s="277">
        <f>'Resultater - Vestdanmark'!J110+'Resultater - Østdanmark'!J110</f>
        <v>9486365.9711743183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195343.77170144278</v>
      </c>
      <c r="J111" s="277">
        <f>'Resultater - Vestdanmark'!J111+'Resultater - Østdanmark'!J111</f>
        <v>185906.21076511967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3731303.0466279737</v>
      </c>
      <c r="J112" s="277">
        <f>'Resultater - Vestdanmark'!J112+'Resultater - Østdanmark'!J112</f>
        <v>3551034.1823190562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42507.033653433064</v>
      </c>
      <c r="J113" s="277">
        <f>'Resultater - Vestdanmark'!J113+'Resultater - Østdanmark'!J113</f>
        <v>40453.409333433068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-2586204586.6692138</v>
      </c>
      <c r="J114" s="277">
        <f>'Resultater - Vestdanmark'!J114+'Resultater - Østdanmark'!J114</f>
        <v>-2461258379.4372134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-10817.013072585138</v>
      </c>
      <c r="J115" s="277">
        <f>'Resultater - Vestdanmark'!J115+'Resultater - Østdanmark'!J115</f>
        <v>-10294.415299785136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2797326.9329336165</v>
      </c>
      <c r="J116" s="277">
        <f>'Resultater - Vestdanmark'!J116+'Resultater - Østdanmark'!J116</f>
        <v>2662180.8611728661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21412.262565954799</v>
      </c>
      <c r="J117" s="277">
        <f>'Resultater - Vestdanmark'!J117+'Resultater - Østdanmark'!J117</f>
        <v>26390.173140597766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1157085.7271217881</v>
      </c>
      <c r="J118" s="277">
        <f>'Resultater - Vestdanmark'!J118+'Resultater - Østdanmark'!J118</f>
        <v>1426084.3562515329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9553.1632986567565</v>
      </c>
      <c r="J119" s="277">
        <f>'Resultater - Vestdanmark'!J119+'Resultater - Østdanmark'!J119</f>
        <v>11774.077247343617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441971.06065624644</v>
      </c>
      <c r="J120" s="277">
        <f>'Resultater - Vestdanmark'!J120+'Resultater - Østdanmark'!J120</f>
        <v>544720.24046618456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8833.5743465669384</v>
      </c>
      <c r="J121" s="277">
        <f>'Resultater - Vestdanmark'!J121+'Resultater - Østdanmark'!J121</f>
        <v>10887.198666566937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-537450594.13078606</v>
      </c>
      <c r="J122" s="277">
        <f>'Resultater - Vestdanmark'!J122+'Resultater - Østdanmark'!J122</f>
        <v>-662396801.36278594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-2709.8349283905177</v>
      </c>
      <c r="J123" s="277">
        <f>'Resultater - Vestdanmark'!J123+'Resultater - Østdanmark'!J123</f>
        <v>-3339.8158051905179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486132.10955144238</v>
      </c>
      <c r="J124" s="277">
        <f>'Resultater - Vestdanmark'!J124+'Resultater - Østdanmark'!J124</f>
        <v>599147.82479198219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82323881.005690798</v>
      </c>
      <c r="J125" s="277">
        <f>'Resultater - Vestdanmark'!J125+'Resultater - Østdanmark'!J125</f>
        <v>78386096.171160832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5239.8247641809012</v>
      </c>
      <c r="J126" s="277">
        <f>'Resultater - Vestdanmark'!J126+'Resultater - Østdanmark'!J126</f>
        <v>4989.1890769425909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116133.63423732575</v>
      </c>
      <c r="J127" s="277">
        <f>'Resultater - Vestdanmark'!J127+'Resultater - Østdanmark'!J127</f>
        <v>110578.63296561723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171561.69845929107</v>
      </c>
      <c r="J128" s="277">
        <f>'Resultater - Vestdanmark'!J128+'Resultater - Østdanmark'!J128</f>
        <v>163355.41559062383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7245.7392422613466</v>
      </c>
      <c r="J129" s="277">
        <f>'Resultater - Vestdanmark'!J129+'Resultater - Østdanmark'!J129</f>
        <v>6899.1549734613482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-285090575.83192879</v>
      </c>
      <c r="J130" s="277">
        <f>'Resultater - Vestdanmark'!J130+'Resultater - Østdanmark'!J130</f>
        <v>-271453884.60376883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-6757.0168947177917</v>
      </c>
      <c r="J131" s="277">
        <f>'Resultater - Vestdanmark'!J131+'Resultater - Østdanmark'!J131</f>
        <v>-6433.8096026217927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11008.392730152173</v>
      </c>
      <c r="J132" s="277">
        <f>'Resultater - Vestdanmark'!J132+'Resultater - Østdanmark'!J132</f>
        <v>10481.830067947913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1128905.9256907196</v>
      </c>
      <c r="J133" s="277">
        <f>'Resultater - Vestdanmark'!J133+'Resultater - Østdanmark'!J133</f>
        <v>1404661.7950289082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1994.5176843777681</v>
      </c>
      <c r="J134" s="277">
        <f>'Resultater - Vestdanmark'!J134+'Resultater - Østdanmark'!J134</f>
        <v>2481.7150189381882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7510.1592646289591</v>
      </c>
      <c r="J135" s="277">
        <f>'Resultater - Vestdanmark'!J135+'Resultater - Østdanmark'!J135</f>
        <v>9344.6526885330713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13826.644973337128</v>
      </c>
      <c r="J136" s="277">
        <f>'Resultater - Vestdanmark'!J136+'Resultater - Østdanmark'!J136</f>
        <v>17204.05527643234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1418.8674777386532</v>
      </c>
      <c r="J137" s="277">
        <f>'Resultater - Vestdanmark'!J137+'Resultater - Østdanmark'!J137</f>
        <v>1765.451746538653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-55826704.872071199</v>
      </c>
      <c r="J138" s="277">
        <f>'Resultater - Vestdanmark'!J138+'Resultater - Østdanmark'!J138</f>
        <v>-69463396.1002312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-2492.2636103603218</v>
      </c>
      <c r="J139" s="277">
        <f>'Resultater - Vestdanmark'!J139+'Resultater - Østdanmark'!J139</f>
        <v>-3101.0444687603213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2371.2412074498138</v>
      </c>
      <c r="J140" s="277">
        <f>'Resultater - Vestdanmark'!J140+'Resultater - Østdanmark'!J140</f>
        <v>2950.4601358745017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8028892.7421747725</v>
      </c>
      <c r="I141" s="276">
        <f>'Resultater - Vestdanmark'!I141+'Resultater - Østdanmark'!I141</f>
        <v>8324837.4261036813</v>
      </c>
      <c r="J141" s="277">
        <f>'Resultater - Vestdanmark'!J141+'Resultater - Østdanmark'!J141</f>
        <v>8383411.6856616531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2620610.5188139905</v>
      </c>
      <c r="I142" s="276">
        <f>'Resultater - Vestdanmark'!I142+'Resultater - Østdanmark'!I142</f>
        <v>2519971.7768382877</v>
      </c>
      <c r="J142" s="277">
        <f>'Resultater - Vestdanmark'!J142+'Resultater - Østdanmark'!J142</f>
        <v>2365580.0799975712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-183255754.45762676</v>
      </c>
      <c r="I143" s="276">
        <f>'Resultater - Vestdanmark'!I143+'Resultater - Østdanmark'!I143</f>
        <v>-177248651.73640388</v>
      </c>
      <c r="J143" s="277">
        <f>'Resultater - Vestdanmark'!J143+'Resultater - Østdanmark'!J143</f>
        <v>-166389117.37342489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2604172.3544975286</v>
      </c>
      <c r="I144" s="276">
        <f>'Resultater - Vestdanmark'!I144+'Resultater - Østdanmark'!I144</f>
        <v>2518807.8818590846</v>
      </c>
      <c r="J144" s="277">
        <f>'Resultater - Vestdanmark'!J144+'Resultater - Østdanmark'!J144</f>
        <v>2364487.4936427083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228280.18071014562</v>
      </c>
      <c r="I145" s="276">
        <f>'Resultater - Vestdanmark'!I145+'Resultater - Østdanmark'!I145</f>
        <v>220999.13505980614</v>
      </c>
      <c r="J145" s="277">
        <f>'Resultater - Vestdanmark'!J145+'Resultater - Østdanmark'!J145</f>
        <v>226116.09156672316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74510.080283339761</v>
      </c>
      <c r="I146" s="276">
        <f>'Resultater - Vestdanmark'!I146+'Resultater - Østdanmark'!I146</f>
        <v>66897.592655696906</v>
      </c>
      <c r="J146" s="277">
        <f>'Resultater - Vestdanmark'!J146+'Resultater - Østdanmark'!J146</f>
        <v>63804.062359479729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-3527867.7475414807</v>
      </c>
      <c r="I147" s="276">
        <f>'Resultater - Vestdanmark'!I147+'Resultater - Østdanmark'!I147</f>
        <v>-3185956.7575122342</v>
      </c>
      <c r="J147" s="277">
        <f>'Resultater - Vestdanmark'!J147+'Resultater - Østdanmark'!J147</f>
        <v>-3038629.2773960615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433973.71375071316</v>
      </c>
      <c r="I148" s="276">
        <f>'Resultater - Vestdanmark'!I148+'Resultater - Østdanmark'!I148</f>
        <v>391914.20564738946</v>
      </c>
      <c r="J148" s="277">
        <f>'Resultater - Vestdanmark'!J148+'Resultater - Østdanmark'!J148</f>
        <v>373791.00538623857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135901.60941201358</v>
      </c>
      <c r="I149" s="276">
        <f>'Resultater - Vestdanmark'!I149+'Resultater - Østdanmark'!I149</f>
        <v>129255.32755043269</v>
      </c>
      <c r="J149" s="277">
        <f>'Resultater - Vestdanmark'!J149+'Resultater - Østdanmark'!J149</f>
        <v>132248.07179435875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44357.945558057712</v>
      </c>
      <c r="I150" s="276">
        <f>'Resultater - Vestdanmark'!I150+'Resultater - Østdanmark'!I150</f>
        <v>39126.262863913631</v>
      </c>
      <c r="J150" s="277">
        <f>'Resultater - Vestdanmark'!J150+'Resultater - Østdanmark'!J150</f>
        <v>37316.955910669065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-1384772.8694927006</v>
      </c>
      <c r="I151" s="276">
        <f>'Resultater - Vestdanmark'!I151+'Resultater - Østdanmark'!I151</f>
        <v>-1228591.8033485585</v>
      </c>
      <c r="J151" s="277">
        <f>'Resultater - Vestdanmark'!J151+'Resultater - Østdanmark'!J151</f>
        <v>-1171778.3095520933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567087.95319850883</v>
      </c>
      <c r="I152" s="276">
        <f>'Resultater - Vestdanmark'!I152+'Resultater - Østdanmark'!I152</f>
        <v>503129.16033127956</v>
      </c>
      <c r="J152" s="277">
        <f>'Resultater - Vestdanmark'!J152+'Resultater - Østdanmark'!J152</f>
        <v>479863.07199226081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687812.87730450777</v>
      </c>
      <c r="I153" s="276">
        <f>'Resultater - Vestdanmark'!I153+'Resultater - Østdanmark'!I153</f>
        <v>870498.89617465669</v>
      </c>
      <c r="J153" s="277">
        <f>'Resultater - Vestdanmark'!J153+'Resultater - Østdanmark'!J153</f>
        <v>1191460.6304773684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224500.40361999813</v>
      </c>
      <c r="I154" s="276">
        <f>'Resultater - Vestdanmark'!I154+'Resultater - Østdanmark'!I154</f>
        <v>263504.56325436203</v>
      </c>
      <c r="J154" s="277">
        <f>'Resultater - Vestdanmark'!J154+'Resultater - Østdanmark'!J154</f>
        <v>336199.10833904881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-15699010.038333988</v>
      </c>
      <c r="I155" s="276">
        <f>'Resultater - Vestdanmark'!I155+'Resultater - Østdanmark'!I155</f>
        <v>-18534266.531280614</v>
      </c>
      <c r="J155" s="277">
        <f>'Resultater - Vestdanmark'!J155+'Resultater - Østdanmark'!J155</f>
        <v>-23647423.044889782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332973.42070203071</v>
      </c>
      <c r="I156" s="276">
        <f>'Resultater - Vestdanmark'!I156+'Resultater - Østdanmark'!I156</f>
        <v>393108.74456760276</v>
      </c>
      <c r="J156" s="277">
        <f>'Resultater - Vestdanmark'!J156+'Resultater - Østdanmark'!J156</f>
        <v>501557.95319693821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19556.127223005868</v>
      </c>
      <c r="I157" s="276">
        <f>'Resultater - Vestdanmark'!I157+'Resultater - Østdanmark'!I157</f>
        <v>23109.100307698805</v>
      </c>
      <c r="J157" s="277">
        <f>'Resultater - Vestdanmark'!J157+'Resultater - Østdanmark'!J157</f>
        <v>32135.893013573685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6383.0710352710576</v>
      </c>
      <c r="I158" s="276">
        <f>'Resultater - Vestdanmark'!I158+'Resultater - Østdanmark'!I158</f>
        <v>6995.2453823211408</v>
      </c>
      <c r="J158" s="277">
        <f>'Resultater - Vestdanmark'!J158+'Resultater - Østdanmark'!J158</f>
        <v>9067.9106807866629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-302222.60330370459</v>
      </c>
      <c r="I159" s="276">
        <f>'Resultater - Vestdanmark'!I159+'Resultater - Østdanmark'!I159</f>
        <v>-333144.26441269548</v>
      </c>
      <c r="J159" s="277">
        <f>'Resultater - Vestdanmark'!J159+'Resultater - Østdanmark'!J159</f>
        <v>-431853.67609053117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55488.536199525202</v>
      </c>
      <c r="I160" s="276">
        <f>'Resultater - Vestdanmark'!I160+'Resultater - Østdanmark'!I160</f>
        <v>61165.800881384486</v>
      </c>
      <c r="J160" s="277">
        <f>'Resultater - Vestdanmark'!J160+'Resultater - Østdanmark'!J160</f>
        <v>79289.001142535431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11642.312333926018</v>
      </c>
      <c r="I161" s="276">
        <f>'Resultater - Vestdanmark'!I161+'Resultater - Østdanmark'!I161</f>
        <v>13515.773846169524</v>
      </c>
      <c r="J161" s="277">
        <f>'Resultater - Vestdanmark'!J161+'Resultater - Østdanmark'!J161</f>
        <v>18795.256264107349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3800.0216400126183</v>
      </c>
      <c r="I162" s="276">
        <f>'Resultater - Vestdanmark'!I162+'Resultater - Østdanmark'!I162</f>
        <v>4091.2953480242631</v>
      </c>
      <c r="J162" s="277">
        <f>'Resultater - Vestdanmark'!J162+'Resultater - Østdanmark'!J162</f>
        <v>5303.5310066981183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-118629.63454173651</v>
      </c>
      <c r="I163" s="276">
        <f>'Resultater - Vestdanmark'!I163+'Resultater - Østdanmark'!I163</f>
        <v>-128469.51284725679</v>
      </c>
      <c r="J163" s="277">
        <f>'Resultater - Vestdanmark'!J163+'Resultater - Østdanmark'!J163</f>
        <v>-166534.5536908884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72508.724428055051</v>
      </c>
      <c r="I164" s="276">
        <f>'Resultater - Vestdanmark'!I164+'Resultater - Østdanmark'!I164</f>
        <v>78523.048144188142</v>
      </c>
      <c r="J164" s="277">
        <f>'Resultater - Vestdanmark'!J164+'Resultater - Østdanmark'!J164</f>
        <v>101789.13648320684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229792.23730502045</v>
      </c>
      <c r="I165" s="276">
        <f>'Resultater - Vestdanmark'!I165+'Resultater - Østdanmark'!I165</f>
        <v>238363.79482386861</v>
      </c>
      <c r="J165" s="277">
        <f>'Resultater - Vestdanmark'!J165+'Resultater - Østdanmark'!J165</f>
        <v>240231.25491662149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-2229300.7257745154</v>
      </c>
      <c r="I166" s="276">
        <f>'Resultater - Vestdanmark'!I166+'Resultater - Østdanmark'!I166</f>
        <v>-2157142.3711023317</v>
      </c>
      <c r="J166" s="277">
        <f>'Resultater - Vestdanmark'!J166+'Resultater - Østdanmark'!J166</f>
        <v>-2026585.6982289553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25343.742518123829</v>
      </c>
      <c r="I167" s="276">
        <f>'Resultater - Vestdanmark'!I167+'Resultater - Østdanmark'!I167</f>
        <v>24523.412295198013</v>
      </c>
      <c r="J167" s="277">
        <f>'Resultater - Vestdanmark'!J167+'Resultater - Østdanmark'!J167</f>
        <v>23039.182436448828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2895.9534319120221</v>
      </c>
      <c r="I168" s="276">
        <f>'Resultater - Vestdanmark'!I168+'Resultater - Østdanmark'!I168</f>
        <v>2803.9519307128389</v>
      </c>
      <c r="J168" s="277">
        <f>'Resultater - Vestdanmark'!J168+'Resultater - Østdanmark'!J168</f>
        <v>2868.8739046068131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-22826.968918399438</v>
      </c>
      <c r="I169" s="276">
        <f>'Resultater - Vestdanmark'!I169+'Resultater - Østdanmark'!I169</f>
        <v>-20617.331422352458</v>
      </c>
      <c r="J169" s="277">
        <f>'Resultater - Vestdanmark'!J169+'Resultater - Østdanmark'!J169</f>
        <v>-19663.928813226332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1872.0097963032511</v>
      </c>
      <c r="I170" s="276">
        <f>'Resultater - Vestdanmark'!I170+'Resultater - Østdanmark'!I170</f>
        <v>1690.8003219457169</v>
      </c>
      <c r="J170" s="277">
        <f>'Resultater - Vestdanmark'!J170+'Resultater - Østdanmark'!J170</f>
        <v>1612.6130238210594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873.12609941568871</v>
      </c>
      <c r="I171" s="276">
        <f>'Resultater - Vestdanmark'!I171+'Resultater - Østdanmark'!I171</f>
        <v>832.37444875941435</v>
      </c>
      <c r="J171" s="277">
        <f>'Resultater - Vestdanmark'!J171+'Resultater - Østdanmark'!J171</f>
        <v>851.64703030421686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-5747.8555301287988</v>
      </c>
      <c r="I172" s="276">
        <f>'Resultater - Vestdanmark'!I172+'Resultater - Østdanmark'!I172</f>
        <v>-5111.5525316496414</v>
      </c>
      <c r="J172" s="277">
        <f>'Resultater - Vestdanmark'!J172+'Resultater - Østdanmark'!J172</f>
        <v>-4875.1801602438773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1238.8653838857663</v>
      </c>
      <c r="I173" s="276">
        <f>'Resultater - Vestdanmark'!I173+'Resultater - Østdanmark'!I173</f>
        <v>1101.7196685234876</v>
      </c>
      <c r="J173" s="277">
        <f>'Resultater - Vestdanmark'!J173+'Resultater - Østdanmark'!J173</f>
        <v>1050.7730942565054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16747.502556513253</v>
      </c>
      <c r="I174" s="276">
        <f>'Resultater - Vestdanmark'!I174+'Resultater - Østdanmark'!I174</f>
        <v>21204.732961499059</v>
      </c>
      <c r="J174" s="277">
        <f>'Resultater - Vestdanmark'!J174+'Resultater - Østdanmark'!J174</f>
        <v>29046.142639918777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-162473.80695714155</v>
      </c>
      <c r="I175" s="276">
        <f>'Resultater - Vestdanmark'!I175+'Resultater - Østdanmark'!I175</f>
        <v>-191898.38781077968</v>
      </c>
      <c r="J175" s="277">
        <f>'Resultater - Vestdanmark'!J175+'Resultater - Østdanmark'!J175</f>
        <v>-245032.63442222818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3240.4892959857261</v>
      </c>
      <c r="I176" s="276">
        <f>'Resultater - Vestdanmark'!I176+'Resultater - Østdanmark'!I176</f>
        <v>3827.3533639904422</v>
      </c>
      <c r="J176" s="277">
        <f>'Resultater - Vestdanmark'!J176+'Resultater - Østdanmark'!J176</f>
        <v>4887.0993047012653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211.06016492677367</v>
      </c>
      <c r="I177" s="276">
        <f>'Resultater - Vestdanmark'!I177+'Resultater - Østdanmark'!I177</f>
        <v>249.43826713104394</v>
      </c>
      <c r="J177" s="277">
        <f>'Resultater - Vestdanmark'!J177+'Resultater - Østdanmark'!J177</f>
        <v>346.8729357388238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-1663.6537630768387</v>
      </c>
      <c r="I178" s="276">
        <f>'Resultater - Vestdanmark'!I178+'Resultater - Østdanmark'!I178</f>
        <v>-1834.1082693063836</v>
      </c>
      <c r="J178" s="277">
        <f>'Resultater - Vestdanmark'!J178+'Resultater - Østdanmark'!J178</f>
        <v>-2377.5477565082747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239.35800730941858</v>
      </c>
      <c r="I179" s="276">
        <f>'Resultater - Vestdanmark'!I179+'Resultater - Østdanmark'!I179</f>
        <v>263.88213117071888</v>
      </c>
      <c r="J179" s="277">
        <f>'Resultater - Vestdanmark'!J179+'Resultater - Østdanmark'!J179</f>
        <v>342.06942929537627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63.63435838223252</v>
      </c>
      <c r="I180" s="276">
        <f>'Resultater - Vestdanmark'!I180+'Resultater - Østdanmark'!I180</f>
        <v>74.047646048597628</v>
      </c>
      <c r="J180" s="277">
        <f>'Resultater - Vestdanmark'!J180+'Resultater - Østdanmark'!J180</f>
        <v>102.97186820950986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-418.90982182102539</v>
      </c>
      <c r="I181" s="276">
        <f>'Resultater - Vestdanmark'!I181+'Resultater - Østdanmark'!I181</f>
        <v>-454.72134949183805</v>
      </c>
      <c r="J181" s="277">
        <f>'Resultater - Vestdanmark'!J181+'Resultater - Østdanmark'!J181</f>
        <v>-589.45360119312329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158.40320397740001</v>
      </c>
      <c r="I182" s="276">
        <f>'Resultater - Vestdanmark'!I182+'Resultater - Østdanmark'!I182</f>
        <v>171.94468815106453</v>
      </c>
      <c r="J182" s="277">
        <f>'Resultater - Vestdanmark'!J182+'Resultater - Østdanmark'!J182</f>
        <v>222.89126241804658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27718.750814801697</v>
      </c>
      <c r="I183" s="276">
        <f>'Resultater - Vestdanmark'!I183+'Resultater - Østdanmark'!I183</f>
        <v>26797.218195512287</v>
      </c>
      <c r="J183" s="277">
        <f>'Resultater - Vestdanmark'!J183+'Resultater - Østdanmark'!J183</f>
        <v>25180.019397313932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-23717015.446220245</v>
      </c>
      <c r="I184" s="276">
        <f>'Resultater - Vestdanmark'!I184+'Resultater - Østdanmark'!I184</f>
        <v>-22928523.803436268</v>
      </c>
      <c r="J184" s="277">
        <f>'Resultater - Vestdanmark'!J184+'Resultater - Østdanmark'!J184</f>
        <v>-21544798.788815558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5135.7375651082511</v>
      </c>
      <c r="I185" s="276">
        <f>'Resultater - Vestdanmark'!I185+'Resultater - Østdanmark'!I185</f>
        <v>4964.9957549170813</v>
      </c>
      <c r="J185" s="277">
        <f>'Resultater - Vestdanmark'!J185+'Resultater - Østdanmark'!J185</f>
        <v>4665.3607290226209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2020.1720283442451</v>
      </c>
      <c r="I186" s="276">
        <f>'Resultater - Vestdanmark'!I186+'Resultater - Østdanmark'!I186</f>
        <v>2383.8681388955729</v>
      </c>
      <c r="J186" s="277">
        <f>'Resultater - Vestdanmark'!J186+'Resultater - Østdanmark'!J186</f>
        <v>3044.4932544025023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-1728521.3002700505</v>
      </c>
      <c r="I187" s="276">
        <f>'Resultater - Vestdanmark'!I187+'Resultater - Østdanmark'!I187</f>
        <v>-2039710.8747681167</v>
      </c>
      <c r="J187" s="277">
        <f>'Resultater - Vestdanmark'!J187+'Resultater - Østdanmark'!J187</f>
        <v>-2604962.035374972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656.66318203887363</v>
      </c>
      <c r="I188" s="276">
        <f>'Resultater - Vestdanmark'!I188+'Resultater - Østdanmark'!I188</f>
        <v>774.88373053619193</v>
      </c>
      <c r="J188" s="277">
        <f>'Resultater - Vestdanmark'!J188+'Resultater - Østdanmark'!J188</f>
        <v>989.62197282298007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1960428.2349329358</v>
      </c>
      <c r="I189" s="276">
        <f>'Resultater - Vestdanmark'!I189+'Resultater - Østdanmark'!I189</f>
        <v>2030748.621408846</v>
      </c>
      <c r="J189" s="277">
        <f>'Resultater - Vestdanmark'!J189+'Resultater - Østdanmark'!J189</f>
        <v>2041395.1952447568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-6923899.3970784517</v>
      </c>
      <c r="I190" s="276">
        <f>'Resultater - Vestdanmark'!I190+'Resultater - Østdanmark'!I190</f>
        <v>-6690540.1612074161</v>
      </c>
      <c r="J190" s="277">
        <f>'Resultater - Vestdanmark'!J190+'Resultater - Østdanmark'!J190</f>
        <v>-6269444.2977980692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104952.20706782168</v>
      </c>
      <c r="I191" s="276">
        <f>'Resultater - Vestdanmark'!I191+'Resultater - Østdanmark'!I191</f>
        <v>101414.95653315046</v>
      </c>
      <c r="J191" s="277">
        <f>'Resultater - Vestdanmark'!J191+'Resultater - Østdanmark'!J191</f>
        <v>95032.001247782056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74529.950322797784</v>
      </c>
      <c r="I192" s="276">
        <f>'Resultater - Vestdanmark'!I192+'Resultater - Østdanmark'!I192</f>
        <v>72134.261978397204</v>
      </c>
      <c r="J192" s="277">
        <f>'Resultater - Vestdanmark'!J192+'Resultater - Østdanmark'!J192</f>
        <v>73804.43992322094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-175484.74661777477</v>
      </c>
      <c r="I193" s="276">
        <f>'Resultater - Vestdanmark'!I193+'Resultater - Østdanmark'!I193</f>
        <v>-158436.53966739436</v>
      </c>
      <c r="J193" s="277">
        <f>'Resultater - Vestdanmark'!J193+'Resultater - Østdanmark'!J193</f>
        <v>-151109.99448046277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23385.82028389235</v>
      </c>
      <c r="I194" s="276">
        <f>'Resultater - Vestdanmark'!I194+'Resultater - Østdanmark'!I194</f>
        <v>21113.90599169131</v>
      </c>
      <c r="J194" s="277">
        <f>'Resultater - Vestdanmark'!J194+'Resultater - Østdanmark'!J194</f>
        <v>20137.540396699798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74479.88306993802</v>
      </c>
      <c r="I195" s="276">
        <f>'Resultater - Vestdanmark'!I195+'Resultater - Østdanmark'!I195</f>
        <v>70506.098283986634</v>
      </c>
      <c r="J195" s="277">
        <f>'Resultater - Vestdanmark'!J195+'Resultater - Østdanmark'!J195</f>
        <v>72138.57815000035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-112735.83895599192</v>
      </c>
      <c r="I196" s="276">
        <f>'Resultater - Vestdanmark'!I196+'Resultater - Østdanmark'!I196</f>
        <v>-99553.128312100322</v>
      </c>
      <c r="J196" s="277">
        <f>'Resultater - Vestdanmark'!J196+'Resultater - Østdanmark'!J196</f>
        <v>-94949.515442176606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51296.929124309347</v>
      </c>
      <c r="I197" s="276">
        <f>'Resultater - Vestdanmark'!I197+'Resultater - Østdanmark'!I197</f>
        <v>45298.547599602171</v>
      </c>
      <c r="J197" s="277">
        <f>'Resultater - Vestdanmark'!J197+'Resultater - Østdanmark'!J197</f>
        <v>43203.817074765073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142878.09397503437</v>
      </c>
      <c r="I198" s="276">
        <f>'Resultater - Vestdanmark'!I198+'Resultater - Østdanmark'!I198</f>
        <v>180654.45828602396</v>
      </c>
      <c r="J198" s="277">
        <f>'Resultater - Vestdanmark'!J198+'Resultater - Østdanmark'!J198</f>
        <v>246823.23724322964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-504621.14914566139</v>
      </c>
      <c r="I199" s="276">
        <f>'Resultater - Vestdanmark'!I199+'Resultater - Østdanmark'!I199</f>
        <v>-595187.35884960776</v>
      </c>
      <c r="J199" s="277">
        <f>'Resultater - Vestdanmark'!J199+'Resultater - Østdanmark'!J199</f>
        <v>-758032.81055194815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13419.348123117323</v>
      </c>
      <c r="I200" s="276">
        <f>'Resultater - Vestdanmark'!I200+'Resultater - Østdanmark'!I200</f>
        <v>15827.767782630421</v>
      </c>
      <c r="J200" s="277">
        <f>'Resultater - Vestdanmark'!J200+'Resultater - Østdanmark'!J200</f>
        <v>20158.303294984071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5431.8220154279852</v>
      </c>
      <c r="I201" s="276">
        <f>'Resultater - Vestdanmark'!I201+'Resultater - Østdanmark'!I201</f>
        <v>6417.0305887140621</v>
      </c>
      <c r="J201" s="277">
        <f>'Resultater - Vestdanmark'!J201+'Resultater - Østdanmark'!J201</f>
        <v>8923.62773617126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-12789.514898665619</v>
      </c>
      <c r="I202" s="276">
        <f>'Resultater - Vestdanmark'!I202+'Resultater - Østdanmark'!I202</f>
        <v>-14094.441303359532</v>
      </c>
      <c r="J202" s="277">
        <f>'Resultater - Vestdanmark'!J202+'Resultater - Østdanmark'!J202</f>
        <v>-18270.572059910501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2990.1463942669939</v>
      </c>
      <c r="I203" s="276">
        <f>'Resultater - Vestdanmark'!I203+'Resultater - Østdanmark'!I203</f>
        <v>3295.2338830963313</v>
      </c>
      <c r="J203" s="277">
        <f>'Resultater - Vestdanmark'!J203+'Resultater - Østdanmark'!J203</f>
        <v>4271.5994780878364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5428.1730608109774</v>
      </c>
      <c r="I204" s="276">
        <f>'Resultater - Vestdanmark'!I204+'Resultater - Østdanmark'!I204</f>
        <v>6272.1898993673676</v>
      </c>
      <c r="J204" s="277">
        <f>'Resultater - Vestdanmark'!J204+'Resultater - Østdanmark'!J204</f>
        <v>8722.2099035909505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-8216.3077972908159</v>
      </c>
      <c r="I205" s="276">
        <f>'Resultater - Vestdanmark'!I205+'Resultater - Østdanmark'!I205</f>
        <v>-8856.2002585157461</v>
      </c>
      <c r="J205" s="277">
        <f>'Resultater - Vestdanmark'!J205+'Resultater - Østdanmark'!J205</f>
        <v>-11480.259594372263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6558.9030359423223</v>
      </c>
      <c r="I206" s="276">
        <f>'Resultater - Vestdanmark'!I206+'Resultater - Østdanmark'!I206</f>
        <v>7069.7155213251954</v>
      </c>
      <c r="J206" s="277">
        <f>'Resultater - Vestdanmark'!J206+'Resultater - Østdanmark'!J206</f>
        <v>9164.4460461622893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10615606.672639394</v>
      </c>
      <c r="I207" s="276">
        <f>'Resultater - Vestdanmark'!I207+'Resultater - Østdanmark'!I207</f>
        <v>10999580.62311912</v>
      </c>
      <c r="J207" s="277">
        <f>'Resultater - Vestdanmark'!J207+'Resultater - Østdanmark'!J207</f>
        <v>11063245.169784693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-33160399.72307751</v>
      </c>
      <c r="I208" s="276">
        <f>'Resultater - Vestdanmark'!I208+'Resultater - Østdanmark'!I208</f>
        <v>-32052084.585075367</v>
      </c>
      <c r="J208" s="277">
        <f>'Resultater - Vestdanmark'!J208+'Resultater - Østdanmark'!J208</f>
        <v>-30051048.863828182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486429.76821888878</v>
      </c>
      <c r="I209" s="276">
        <f>'Resultater - Vestdanmark'!I209+'Resultater - Østdanmark'!I209</f>
        <v>470171.89798228012</v>
      </c>
      <c r="J209" s="277">
        <f>'Resultater - Vestdanmark'!J209+'Resultater - Østdanmark'!J209</f>
        <v>440818.71315300965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1227820.3144178872</v>
      </c>
      <c r="I210" s="276">
        <f>'Resultater - Vestdanmark'!I210+'Resultater - Østdanmark'!I210</f>
        <v>1188440.519010515</v>
      </c>
      <c r="J210" s="277">
        <f>'Resultater - Vestdanmark'!J210+'Resultater - Østdanmark'!J210</f>
        <v>1215957.3617582887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-2680650.2901102607</v>
      </c>
      <c r="I211" s="276">
        <f>'Resultater - Vestdanmark'!I211+'Resultater - Østdanmark'!I211</f>
        <v>-2420404.8321874184</v>
      </c>
      <c r="J211" s="277">
        <f>'Resultater - Vestdanmark'!J211+'Resultater - Østdanmark'!J211</f>
        <v>-2308478.5971729713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329754.92419657321</v>
      </c>
      <c r="I212" s="276">
        <f>'Resultater - Vestdanmark'!I212+'Resultater - Østdanmark'!I212</f>
        <v>297741.34093789331</v>
      </c>
      <c r="J212" s="277">
        <f>'Resultater - Vestdanmark'!J212+'Resultater - Østdanmark'!J212</f>
        <v>283972.95522978262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1475854.3420564069</v>
      </c>
      <c r="I213" s="276">
        <f>'Resultater - Vestdanmark'!I213+'Resultater - Østdanmark'!I213</f>
        <v>1398997.1009721013</v>
      </c>
      <c r="J213" s="277">
        <f>'Resultater - Vestdanmark'!J213+'Resultater - Østdanmark'!J213</f>
        <v>1431389.1160677257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-2230735.0998434206</v>
      </c>
      <c r="I214" s="276">
        <f>'Resultater - Vestdanmark'!I214+'Resultater - Østdanmark'!I214</f>
        <v>-1972543.2423152453</v>
      </c>
      <c r="J214" s="277">
        <f>'Resultater - Vestdanmark'!J214+'Resultater - Østdanmark'!J214</f>
        <v>-1881327.3698382396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870022.68593914213</v>
      </c>
      <c r="I215" s="276">
        <f>'Resultater - Vestdanmark'!I215+'Resultater - Østdanmark'!I215</f>
        <v>769323.69510421634</v>
      </c>
      <c r="J215" s="277">
        <f>'Resultater - Vestdanmark'!J215+'Resultater - Østdanmark'!J215</f>
        <v>733748.03290286532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1058715.4844797079</v>
      </c>
      <c r="I216" s="276">
        <f>'Resultater - Vestdanmark'!I216+'Resultater - Østdanmark'!I216</f>
        <v>1339024.0920398189</v>
      </c>
      <c r="J216" s="277">
        <f>'Resultater - Vestdanmark'!J216+'Resultater - Østdanmark'!J216</f>
        <v>1830464.2008189219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-3307152.3598217401</v>
      </c>
      <c r="I217" s="276">
        <f>'Resultater - Vestdanmark'!I217+'Resultater - Østdanmark'!I217</f>
        <v>-3901831.7997785392</v>
      </c>
      <c r="J217" s="277">
        <f>'Resultater - Vestdanmark'!J217+'Resultater - Østdanmark'!J217</f>
        <v>-4972082.6301970268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62195.646757178984</v>
      </c>
      <c r="I218" s="276">
        <f>'Resultater - Vestdanmark'!I218+'Resultater - Østdanmark'!I218</f>
        <v>73379.42916486453</v>
      </c>
      <c r="J218" s="277">
        <f>'Resultater - Vestdanmark'!J218+'Resultater - Østdanmark'!J218</f>
        <v>93506.999759729311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122452.95244249655</v>
      </c>
      <c r="I219" s="276">
        <f>'Resultater - Vestdanmark'!I219+'Resultater - Østdanmark'!I219</f>
        <v>144673.74179399677</v>
      </c>
      <c r="J219" s="277">
        <f>'Resultater - Vestdanmark'!J219+'Resultater - Østdanmark'!J219</f>
        <v>201185.6725818259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-267346.56417984271</v>
      </c>
      <c r="I220" s="276">
        <f>'Resultater - Vestdanmark'!I220+'Resultater - Østdanmark'!I220</f>
        <v>-294645.813675532</v>
      </c>
      <c r="J220" s="277">
        <f>'Resultater - Vestdanmark'!J220+'Resultater - Østdanmark'!J220</f>
        <v>-381948.27698680072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42162.963950309473</v>
      </c>
      <c r="I221" s="276">
        <f>'Resultater - Vestdanmark'!I221+'Resultater - Østdanmark'!I221</f>
        <v>46468.301764873519</v>
      </c>
      <c r="J221" s="277">
        <f>'Resultater - Vestdanmark'!J221+'Resultater - Østdanmark'!J221</f>
        <v>60236.687472984187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147189.87740935557</v>
      </c>
      <c r="I222" s="276">
        <f>'Resultater - Vestdanmark'!I222+'Resultater - Østdanmark'!I222</f>
        <v>170305.6586501298</v>
      </c>
      <c r="J222" s="277">
        <f>'Resultater - Vestdanmark'!J222+'Resultater - Østdanmark'!J222</f>
        <v>236829.83556756919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-222475.63090894136</v>
      </c>
      <c r="I223" s="276">
        <f>'Resultater - Vestdanmark'!I223+'Resultater - Østdanmark'!I223</f>
        <v>-240125.7842957172</v>
      </c>
      <c r="J223" s="277">
        <f>'Resultater - Vestdanmark'!J223+'Resultater - Østdanmark'!J223</f>
        <v>-311274.16482778144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111242.41808542692</v>
      </c>
      <c r="I224" s="276">
        <f>'Resultater - Vestdanmark'!I224+'Resultater - Østdanmark'!I224</f>
        <v>120067.85992955978</v>
      </c>
      <c r="J224" s="277">
        <f>'Resultater - Vestdanmark'!J224+'Resultater - Østdanmark'!J224</f>
        <v>155643.5221309108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252636.14136845001</v>
      </c>
      <c r="I225" s="276">
        <f>'Resultater - Vestdanmark'!I225+'Resultater - Østdanmark'!I225</f>
        <v>261752.56869143297</v>
      </c>
      <c r="J225" s="277">
        <f>'Resultater - Vestdanmark'!J225+'Resultater - Østdanmark'!J225</f>
        <v>263227.01216988743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75002.300218044285</v>
      </c>
      <c r="I226" s="276">
        <f>'Resultater - Vestdanmark'!I226+'Resultater - Østdanmark'!I226</f>
        <v>72068.1124778784</v>
      </c>
      <c r="J226" s="277">
        <f>'Resultater - Vestdanmark'!J226+'Resultater - Østdanmark'!J226</f>
        <v>67558.437191942125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148812.79058360241</v>
      </c>
      <c r="I228" s="276">
        <f>'Resultater - Vestdanmark'!I228+'Resultater - Østdanmark'!I228</f>
        <v>143827.174307034</v>
      </c>
      <c r="J228" s="277">
        <f>'Resultater - Vestdanmark'!J228+'Resultater - Østdanmark'!J228</f>
        <v>134827.16263588643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9551.9923536804617</v>
      </c>
      <c r="I229" s="276">
        <f>'Resultater - Vestdanmark'!I229+'Resultater - Østdanmark'!I229</f>
        <v>9245.4355092111982</v>
      </c>
      <c r="J229" s="277">
        <f>'Resultater - Vestdanmark'!J229+'Resultater - Østdanmark'!J229</f>
        <v>9459.5019189070445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2835.7834881049771</v>
      </c>
      <c r="I230" s="276">
        <f>'Resultater - Vestdanmark'!I230+'Resultater - Østdanmark'!I230</f>
        <v>2545.537908245984</v>
      </c>
      <c r="J230" s="277">
        <f>'Resultater - Vestdanmark'!J230+'Resultater - Østdanmark'!J230</f>
        <v>2427.8251726045519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32977.664576989635</v>
      </c>
      <c r="I232" s="276">
        <f>'Resultater - Vestdanmark'!I232+'Resultater - Østdanmark'!I232</f>
        <v>29775.462663528771</v>
      </c>
      <c r="J232" s="277">
        <f>'Resultater - Vestdanmark'!J232+'Resultater - Østdanmark'!J232</f>
        <v>28398.562655966747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3796.4815039591263</v>
      </c>
      <c r="I233" s="276">
        <f>'Resultater - Vestdanmark'!I233+'Resultater - Østdanmark'!I233</f>
        <v>3597.3723791739267</v>
      </c>
      <c r="J233" s="277">
        <f>'Resultater - Vestdanmark'!J233+'Resultater - Østdanmark'!J233</f>
        <v>3680.6650038189782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1127.0946587048945</v>
      </c>
      <c r="I234" s="276">
        <f>'Resultater - Vestdanmark'!I234+'Resultater - Østdanmark'!I234</f>
        <v>990.46148254897685</v>
      </c>
      <c r="J234" s="277">
        <f>'Resultater - Vestdanmark'!J234+'Resultater - Østdanmark'!J234</f>
        <v>944.65979549468875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28769.864955948491</v>
      </c>
      <c r="I236" s="276">
        <f>'Resultater - Vestdanmark'!I236+'Resultater - Østdanmark'!I236</f>
        <v>25430.045978580787</v>
      </c>
      <c r="J236" s="277">
        <f>'Resultater - Vestdanmark'!J236+'Resultater - Østdanmark'!J236</f>
        <v>24254.090095178206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18412.390570964348</v>
      </c>
      <c r="I237" s="276">
        <f>'Resultater - Vestdanmark'!I237+'Resultater - Østdanmark'!I237</f>
        <v>23285.387469139616</v>
      </c>
      <c r="J237" s="277">
        <f>'Resultater - Vestdanmark'!J237+'Resultater - Østdanmark'!J237</f>
        <v>31826.538744177305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5466.2473779684478</v>
      </c>
      <c r="I238" s="276">
        <f>'Resultater - Vestdanmark'!I238+'Resultater - Østdanmark'!I238</f>
        <v>6411.1459597372741</v>
      </c>
      <c r="J238" s="277">
        <f>'Resultater - Vestdanmark'!J238+'Resultater - Østdanmark'!J238</f>
        <v>8168.4292241166386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19027.428748815582</v>
      </c>
      <c r="I240" s="276">
        <f>'Resultater - Vestdanmark'!I240+'Resultater - Østdanmark'!I240</f>
        <v>22447.015643294326</v>
      </c>
      <c r="J240" s="277">
        <f>'Resultater - Vestdanmark'!J240+'Resultater - Østdanmark'!J240</f>
        <v>28599.701165188035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696.15935785818442</v>
      </c>
      <c r="I241" s="276">
        <f>'Resultater - Vestdanmark'!I241+'Resultater - Østdanmark'!I241</f>
        <v>822.4696675535281</v>
      </c>
      <c r="J241" s="277">
        <f>'Resultater - Vestdanmark'!J241+'Resultater - Østdanmark'!J241</f>
        <v>1143.7397774678514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206.67491545293632</v>
      </c>
      <c r="I242" s="276">
        <f>'Resultater - Vestdanmark'!I242+'Resultater - Østdanmark'!I242</f>
        <v>226.44987519020634</v>
      </c>
      <c r="J242" s="277">
        <f>'Resultater - Vestdanmark'!J242+'Resultater - Østdanmark'!J242</f>
        <v>293.54613450582292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4216.5741303567183</v>
      </c>
      <c r="I244" s="276">
        <f>'Resultater - Vestdanmark'!I244+'Resultater - Østdanmark'!I244</f>
        <v>4647.0375255218314</v>
      </c>
      <c r="J244" s="277">
        <f>'Resultater - Vestdanmark'!J244+'Resultater - Østdanmark'!J244</f>
        <v>6023.9375330838548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276.69160820656509</v>
      </c>
      <c r="I245" s="276">
        <f>'Resultater - Vestdanmark'!I245+'Resultater - Østdanmark'!I245</f>
        <v>320.02058332651291</v>
      </c>
      <c r="J245" s="277">
        <f>'Resultater - Vestdanmark'!J245+'Resultater - Østdanmark'!J245</f>
        <v>445.02585955265823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82.143856987810693</v>
      </c>
      <c r="I246" s="276">
        <f>'Resultater - Vestdanmark'!I246+'Resultater - Østdanmark'!I246</f>
        <v>88.110995470686433</v>
      </c>
      <c r="J246" s="277">
        <f>'Resultater - Vestdanmark'!J246+'Resultater - Østdanmark'!J246</f>
        <v>114.21795709163054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3678.55849900765</v>
      </c>
      <c r="I248" s="276">
        <f>'Resultater - Vestdanmark'!I248+'Resultater - Østdanmark'!I248</f>
        <v>3968.8511064837071</v>
      </c>
      <c r="J248" s="277">
        <f>'Resultater - Vestdanmark'!J248+'Resultater - Østdanmark'!J248</f>
        <v>5144.8069898862859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2410176.5834804205</v>
      </c>
      <c r="I249" s="276">
        <f>'Resultater - Vestdanmark'!I249+'Resultater - Østdanmark'!I249</f>
        <v>2506227.4721593484</v>
      </c>
      <c r="J249" s="277">
        <f>'Resultater - Vestdanmark'!J249+'Resultater - Østdanmark'!J249</f>
        <v>2537393.8341610897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-4004417.1927958126</v>
      </c>
      <c r="I250" s="276">
        <f>'Resultater - Vestdanmark'!I250+'Resultater - Østdanmark'!I250</f>
        <v>-3884330.3262939942</v>
      </c>
      <c r="J250" s="277">
        <f>'Resultater - Vestdanmark'!J250+'Resultater - Østdanmark'!J250</f>
        <v>-3665898.9921073155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67443.117157939108</v>
      </c>
      <c r="I251" s="276">
        <f>'Resultater - Vestdanmark'!I251+'Resultater - Østdanmark'!I251</f>
        <v>65420.592476649006</v>
      </c>
      <c r="J251" s="277">
        <f>'Resultater - Vestdanmark'!J251+'Resultater - Østdanmark'!J251</f>
        <v>61741.732519444675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16302.299566350639</v>
      </c>
      <c r="I252" s="276">
        <f>'Resultater - Vestdanmark'!I252+'Resultater - Østdanmark'!I252</f>
        <v>15800.847374022207</v>
      </c>
      <c r="J252" s="277">
        <f>'Resultater - Vestdanmark'!J252+'Resultater - Østdanmark'!J252</f>
        <v>16166.69608543651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-17555.516386431049</v>
      </c>
      <c r="I253" s="276">
        <f>'Resultater - Vestdanmark'!I253+'Resultater - Østdanmark'!I253</f>
        <v>-15872.682600419535</v>
      </c>
      <c r="J253" s="277">
        <f>'Resultater - Vestdanmark'!J253+'Resultater - Østdanmark'!J253</f>
        <v>-15138.68571716314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2673.7376430017921</v>
      </c>
      <c r="I254" s="276">
        <f>'Resultater - Vestdanmark'!I254+'Resultater - Østdanmark'!I254</f>
        <v>2417.4389422667955</v>
      </c>
      <c r="J254" s="277">
        <f>'Resultater - Vestdanmark'!J254+'Resultater - Østdanmark'!J254</f>
        <v>2305.649858231337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7000.5878814400912</v>
      </c>
      <c r="I255" s="276">
        <f>'Resultater - Vestdanmark'!I255+'Resultater - Østdanmark'!I255</f>
        <v>6794.6056305280508</v>
      </c>
      <c r="J255" s="277">
        <f>'Resultater - Vestdanmark'!J255+'Resultater - Østdanmark'!J255</f>
        <v>6951.9261625005256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-4615.5602634927654</v>
      </c>
      <c r="I256" s="276">
        <f>'Resultater - Vestdanmark'!I256+'Resultater - Østdanmark'!I256</f>
        <v>-4178.8750253359185</v>
      </c>
      <c r="J256" s="277">
        <f>'Resultater - Vestdanmark'!J256+'Resultater - Østdanmark'!J256</f>
        <v>-3985.6322495978416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2520.2001766035514</v>
      </c>
      <c r="I257" s="276">
        <f>'Resultater - Vestdanmark'!I257+'Resultater - Østdanmark'!I257</f>
        <v>2281.7601711663274</v>
      </c>
      <c r="J257" s="277">
        <f>'Resultater - Vestdanmark'!J257+'Resultater - Østdanmark'!J257</f>
        <v>2176.2452499563237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175656.2317634254</v>
      </c>
      <c r="I258" s="276">
        <f>'Resultater - Vestdanmark'!I258+'Resultater - Østdanmark'!I258</f>
        <v>222952.83697417559</v>
      </c>
      <c r="J258" s="277">
        <f>'Resultater - Vestdanmark'!J258+'Resultater - Østdanmark'!J258</f>
        <v>306793.98176674987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-291846.18227409676</v>
      </c>
      <c r="I259" s="276">
        <f>'Resultater - Vestdanmark'!I259+'Resultater - Østdanmark'!I259</f>
        <v>-345548.2296049975</v>
      </c>
      <c r="J259" s="277">
        <f>'Resultater - Vestdanmark'!J259+'Resultater - Østdanmark'!J259</f>
        <v>-443240.51450024801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8623.3790878329964</v>
      </c>
      <c r="I260" s="276">
        <f>'Resultater - Vestdanmark'!I260+'Resultater - Østdanmark'!I260</f>
        <v>10210.150270922099</v>
      </c>
      <c r="J260" s="277">
        <f>'Resultater - Vestdanmark'!J260+'Resultater - Østdanmark'!J260</f>
        <v>13096.731140488262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1188.1289240510705</v>
      </c>
      <c r="I261" s="276">
        <f>'Resultater - Vestdanmark'!I261+'Resultater - Østdanmark'!I261</f>
        <v>1405.6360756427848</v>
      </c>
      <c r="J261" s="277">
        <f>'Resultater - Vestdanmark'!J261+'Resultater - Østdanmark'!J261</f>
        <v>1954.7005266936872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-1279.4646982456652</v>
      </c>
      <c r="I262" s="276">
        <f>'Resultater - Vestdanmark'!I262+'Resultater - Østdanmark'!I262</f>
        <v>-1412.0265041644893</v>
      </c>
      <c r="J262" s="277">
        <f>'Resultater - Vestdanmark'!J262+'Resultater - Østdanmark'!J262</f>
        <v>-1830.4047276206343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341.86814383177432</v>
      </c>
      <c r="I263" s="276">
        <f>'Resultater - Vestdanmark'!I263+'Resultater - Østdanmark'!I263</f>
        <v>377.28815861967331</v>
      </c>
      <c r="J263" s="277">
        <f>'Resultater - Vestdanmark'!J263+'Resultater - Østdanmark'!J263</f>
        <v>489.07724265513212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510.210287416668</v>
      </c>
      <c r="I264" s="276">
        <f>'Resultater - Vestdanmark'!I264+'Resultater - Østdanmark'!I264</f>
        <v>604.444974877611</v>
      </c>
      <c r="J264" s="277">
        <f>'Resultater - Vestdanmark'!J264+'Resultater - Østdanmark'!J264</f>
        <v>840.55107237506343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-336.38693899820993</v>
      </c>
      <c r="I265" s="276">
        <f>'Resultater - Vestdanmark'!I265+'Resultater - Østdanmark'!I265</f>
        <v>-371.75078982612592</v>
      </c>
      <c r="J265" s="277">
        <f>'Resultater - Vestdanmark'!J265+'Resultater - Østdanmark'!J265</f>
        <v>-481.89917199682986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322.23661087879924</v>
      </c>
      <c r="I266" s="276">
        <f>'Resultater - Vestdanmark'!I266+'Resultater - Østdanmark'!I266</f>
        <v>356.11285908376215</v>
      </c>
      <c r="J266" s="277">
        <f>'Resultater - Vestdanmark'!J266+'Resultater - Østdanmark'!J266</f>
        <v>461.62778029376568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36988.210710055057</v>
      </c>
      <c r="I267" s="276">
        <f>'Resultater - Vestdanmark'!I267+'Resultater - Østdanmark'!I267</f>
        <v>38375.618283240103</v>
      </c>
      <c r="J267" s="277">
        <f>'Resultater - Vestdanmark'!J267+'Resultater - Østdanmark'!J267</f>
        <v>38690.710041775528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-609935.15894083725</v>
      </c>
      <c r="I268" s="276">
        <f>'Resultater - Vestdanmark'!I268+'Resultater - Østdanmark'!I268</f>
        <v>-590311.09466510359</v>
      </c>
      <c r="J268" s="277">
        <f>'Resultater - Vestdanmark'!J268+'Resultater - Østdanmark'!J268</f>
        <v>-554790.7416242715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8563.900760438235</v>
      </c>
      <c r="I269" s="276">
        <f>'Resultater - Vestdanmark'!I269+'Resultater - Østdanmark'!I269</f>
        <v>8288.3656703383622</v>
      </c>
      <c r="J269" s="277">
        <f>'Resultater - Vestdanmark'!J269+'Resultater - Østdanmark'!J269</f>
        <v>7789.6359710279421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1136.9217413253709</v>
      </c>
      <c r="I270" s="276">
        <f>'Resultater - Vestdanmark'!I270+'Resultater - Østdanmark'!I270</f>
        <v>1100.8748947735935</v>
      </c>
      <c r="J270" s="277">
        <f>'Resultater - Vestdanmark'!J270+'Resultater - Østdanmark'!J270</f>
        <v>1126.3642658274166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-15623.188435959159</v>
      </c>
      <c r="I271" s="276">
        <f>'Resultater - Vestdanmark'!I271+'Resultater - Østdanmark'!I271</f>
        <v>-14111.795746340358</v>
      </c>
      <c r="J271" s="277">
        <f>'Resultater - Vestdanmark'!J271+'Resultater - Østdanmark'!J271</f>
        <v>-13459.227156914216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1189.7832867844982</v>
      </c>
      <c r="I272" s="276">
        <f>'Resultater - Vestdanmark'!I272+'Resultater - Østdanmark'!I272</f>
        <v>1074.683237313302</v>
      </c>
      <c r="J272" s="277">
        <f>'Resultater - Vestdanmark'!J272+'Resultater - Østdanmark'!J272</f>
        <v>1024.9869026398546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769.15923740920027</v>
      </c>
      <c r="I273" s="276">
        <f>'Resultater - Vestdanmark'!I273+'Resultater - Østdanmark'!I273</f>
        <v>734.11637255662265</v>
      </c>
      <c r="J273" s="277">
        <f>'Resultater - Vestdanmark'!J273+'Resultater - Østdanmark'!J273</f>
        <v>751.11391215500782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-9059.5905466336899</v>
      </c>
      <c r="I274" s="276">
        <f>'Resultater - Vestdanmark'!I274+'Resultater - Østdanmark'!I274</f>
        <v>-8066.0783159799794</v>
      </c>
      <c r="J274" s="277">
        <f>'Resultater - Vestdanmark'!J274+'Resultater - Østdanmark'!J274</f>
        <v>-7693.0804747785933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1844.3834346765289</v>
      </c>
      <c r="I275" s="276">
        <f>'Resultater - Vestdanmark'!I275+'Resultater - Østdanmark'!I275</f>
        <v>1642.1207064733087</v>
      </c>
      <c r="J275" s="277">
        <f>'Resultater - Vestdanmark'!J275+'Resultater - Østdanmark'!J275</f>
        <v>1566.1844888329247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2695.7401202602077</v>
      </c>
      <c r="I276" s="276">
        <f>'Resultater - Vestdanmark'!I276+'Resultater - Østdanmark'!I276</f>
        <v>3413.877256526388</v>
      </c>
      <c r="J276" s="277">
        <f>'Resultater - Vestdanmark'!J276+'Resultater - Østdanmark'!J276</f>
        <v>4678.0585777783135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-44452.722831145948</v>
      </c>
      <c r="I277" s="276">
        <f>'Resultater - Vestdanmark'!I277+'Resultater - Østdanmark'!I277</f>
        <v>-52513.80200517887</v>
      </c>
      <c r="J277" s="277">
        <f>'Resultater - Vestdanmark'!J277+'Resultater - Østdanmark'!J277</f>
        <v>-67079.244214571008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1094.9933194057135</v>
      </c>
      <c r="I278" s="276">
        <f>'Resultater - Vestdanmark'!I278+'Resultater - Østdanmark'!I278</f>
        <v>1293.5599601106114</v>
      </c>
      <c r="J278" s="277">
        <f>'Resultater - Vestdanmark'!J278+'Resultater - Østdanmark'!J278</f>
        <v>1652.3470241574423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82.860065216772895</v>
      </c>
      <c r="I279" s="276">
        <f>'Resultater - Vestdanmark'!I279+'Resultater - Østdanmark'!I279</f>
        <v>97.933321563963048</v>
      </c>
      <c r="J279" s="277">
        <f>'Resultater - Vestdanmark'!J279+'Resultater - Østdanmark'!J279</f>
        <v>136.18767941367852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-1138.6345828767378</v>
      </c>
      <c r="I280" s="276">
        <f>'Resultater - Vestdanmark'!I280+'Resultater - Østdanmark'!I280</f>
        <v>-1255.3788239085441</v>
      </c>
      <c r="J280" s="277">
        <f>'Resultater - Vestdanmark'!J280+'Resultater - Østdanmark'!J280</f>
        <v>-1627.3429198814456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152.12749271780797</v>
      </c>
      <c r="I281" s="276">
        <f>'Resultater - Vestdanmark'!I281+'Resultater - Østdanmark'!I281</f>
        <v>167.72512952288531</v>
      </c>
      <c r="J281" s="277">
        <f>'Resultater - Vestdanmark'!J281+'Resultater - Østdanmark'!J281</f>
        <v>217.42146419633275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56.05714294768709</v>
      </c>
      <c r="I282" s="276">
        <f>'Resultater - Vestdanmark'!I282+'Resultater - Østdanmark'!I282</f>
        <v>65.30665302685793</v>
      </c>
      <c r="J282" s="277">
        <f>'Resultater - Vestdanmark'!J282+'Resultater - Østdanmark'!J282</f>
        <v>90.816500287832753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-660.27259066769261</v>
      </c>
      <c r="I283" s="276">
        <f>'Resultater - Vestdanmark'!I283+'Resultater - Østdanmark'!I283</f>
        <v>-717.55459701116706</v>
      </c>
      <c r="J283" s="277">
        <f>'Resultater - Vestdanmark'!J283+'Resultater - Østdanmark'!J283</f>
        <v>-930.16336649595701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235.82565887767433</v>
      </c>
      <c r="I284" s="276">
        <f>'Resultater - Vestdanmark'!I284+'Resultater - Østdanmark'!I284</f>
        <v>256.28473453629681</v>
      </c>
      <c r="J284" s="277">
        <f>'Resultater - Vestdanmark'!J284+'Resultater - Østdanmark'!J284</f>
        <v>332.22095217668095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1770707.1441729828</v>
      </c>
      <c r="I285" s="276">
        <f>'Resultater - Vestdanmark'!I285+'Resultater - Østdanmark'!I285</f>
        <v>1835520.5705254728</v>
      </c>
      <c r="J285" s="277">
        <f>'Resultater - Vestdanmark'!J285+'Resultater - Østdanmark'!J285</f>
        <v>1847582.1149742226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-8443698.8320951127</v>
      </c>
      <c r="I286" s="276">
        <f>'Resultater - Vestdanmark'!I286+'Resultater - Østdanmark'!I286</f>
        <v>-8164892.3977108663</v>
      </c>
      <c r="J286" s="277">
        <f>'Resultater - Vestdanmark'!J286+'Resultater - Østdanmark'!J286</f>
        <v>-7661113.6368267238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135120.63677615169</v>
      </c>
      <c r="I287" s="276">
        <f>'Resultater - Vestdanmark'!I287+'Resultater - Østdanmark'!I287</f>
        <v>130659.02537806489</v>
      </c>
      <c r="J287" s="277">
        <f>'Resultater - Vestdanmark'!J287+'Resultater - Østdanmark'!J287</f>
        <v>122597.28510066141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59290.041004910265</v>
      </c>
      <c r="I288" s="276">
        <f>'Resultater - Vestdanmark'!I288+'Resultater - Østdanmark'!I288</f>
        <v>57394.892530161625</v>
      </c>
      <c r="J288" s="277">
        <f>'Resultater - Vestdanmark'!J288+'Resultater - Østdanmark'!J288</f>
        <v>58723.798947449352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-207278.07918935828</v>
      </c>
      <c r="I289" s="276">
        <f>'Resultater - Vestdanmark'!I289+'Resultater - Østdanmark'!I289</f>
        <v>-187175.96740515521</v>
      </c>
      <c r="J289" s="277">
        <f>'Resultater - Vestdanmark'!J289+'Resultater - Østdanmark'!J289</f>
        <v>-178520.4313401769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26517.821531805323</v>
      </c>
      <c r="I290" s="276">
        <f>'Resultater - Vestdanmark'!I290+'Resultater - Østdanmark'!I290</f>
        <v>23946.086909453301</v>
      </c>
      <c r="J290" s="277">
        <f>'Resultater - Vestdanmark'!J290+'Resultater - Østdanmark'!J290</f>
        <v>22838.753410750258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39797.443271560704</v>
      </c>
      <c r="I291" s="276">
        <f>'Resultater - Vestdanmark'!I291+'Resultater - Østdanmark'!I291</f>
        <v>37802.438710875453</v>
      </c>
      <c r="J291" s="277">
        <f>'Resultater - Vestdanmark'!J291+'Resultater - Østdanmark'!J291</f>
        <v>38677.70654704413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-102957.62524429863</v>
      </c>
      <c r="I292" s="276">
        <f>'Resultater - Vestdanmark'!I292+'Resultater - Østdanmark'!I292</f>
        <v>-91228.046883705596</v>
      </c>
      <c r="J292" s="277">
        <f>'Resultater - Vestdanmark'!J292+'Resultater - Østdanmark'!J292</f>
        <v>-87009.408877522685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39069.861329482206</v>
      </c>
      <c r="I293" s="276">
        <f>'Resultater - Vestdanmark'!I293+'Resultater - Østdanmark'!I293</f>
        <v>34618.777702463121</v>
      </c>
      <c r="J293" s="277">
        <f>'Resultater - Vestdanmark'!J293+'Resultater - Østdanmark'!J293</f>
        <v>33017.909369401241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129051.01918003485</v>
      </c>
      <c r="I294" s="276">
        <f>'Resultater - Vestdanmark'!I294+'Resultater - Østdanmark'!I294</f>
        <v>163287.06115830652</v>
      </c>
      <c r="J294" s="277">
        <f>'Resultater - Vestdanmark'!J294+'Resultater - Østdanmark'!J294</f>
        <v>223389.47390142875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-615385.74773192033</v>
      </c>
      <c r="I295" s="276">
        <f>'Resultater - Vestdanmark'!I295+'Resultater - Østdanmark'!I295</f>
        <v>-726345.05202757358</v>
      </c>
      <c r="J295" s="277">
        <f>'Resultater - Vestdanmark'!J295+'Resultater - Østdanmark'!J295</f>
        <v>-926298.28517995845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17276.729229188404</v>
      </c>
      <c r="I296" s="276">
        <f>'Resultater - Vestdanmark'!I296+'Resultater - Østdanmark'!I296</f>
        <v>20391.871012761574</v>
      </c>
      <c r="J296" s="277">
        <f>'Resultater - Vestdanmark'!J296+'Resultater - Østdanmark'!J296</f>
        <v>26005.484718322117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4321.1212221563428</v>
      </c>
      <c r="I297" s="276">
        <f>'Resultater - Vestdanmark'!I297+'Resultater - Østdanmark'!I297</f>
        <v>5105.8230984924121</v>
      </c>
      <c r="J297" s="277">
        <f>'Resultater - Vestdanmark'!J297+'Resultater - Østdanmark'!J297</f>
        <v>7100.2411454643307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-15106.646777302138</v>
      </c>
      <c r="I298" s="276">
        <f>'Resultater - Vestdanmark'!I298+'Resultater - Østdanmark'!I298</f>
        <v>-16651.08750500196</v>
      </c>
      <c r="J298" s="277">
        <f>'Resultater - Vestdanmark'!J298+'Resultater - Østdanmark'!J298</f>
        <v>-21584.743062039575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3390.6088165638589</v>
      </c>
      <c r="I299" s="276">
        <f>'Resultater - Vestdanmark'!I299+'Resultater - Østdanmark'!I299</f>
        <v>3737.2505581227697</v>
      </c>
      <c r="J299" s="277">
        <f>'Resultater - Vestdanmark'!J299+'Resultater - Østdanmark'!J299</f>
        <v>4844.5840568258127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2900.4799759551861</v>
      </c>
      <c r="I300" s="276">
        <f>'Resultater - Vestdanmark'!I300+'Resultater - Østdanmark'!I300</f>
        <v>3362.8874668229669</v>
      </c>
      <c r="J300" s="277">
        <f>'Resultater - Vestdanmark'!J300+'Resultater - Østdanmark'!J300</f>
        <v>4676.4863370516987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-7503.6611863552844</v>
      </c>
      <c r="I301" s="276">
        <f>'Resultater - Vestdanmark'!I301+'Resultater - Østdanmark'!I301</f>
        <v>-8115.6048643943886</v>
      </c>
      <c r="J301" s="277">
        <f>'Resultater - Vestdanmark'!J301+'Resultater - Østdanmark'!J301</f>
        <v>-10520.228527918651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4995.5316324451924</v>
      </c>
      <c r="I302" s="276">
        <f>'Resultater - Vestdanmark'!I302+'Resultater - Østdanmark'!I302</f>
        <v>5402.9306240838396</v>
      </c>
      <c r="J302" s="277">
        <f>'Resultater - Vestdanmark'!J302+'Resultater - Østdanmark'!J302</f>
        <v>7003.7989571457174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6824552.1371091604</v>
      </c>
      <c r="I303" s="276">
        <f>'Resultater - Vestdanmark'!I303+'Resultater - Østdanmark'!I303</f>
        <v>7069142.6019592835</v>
      </c>
      <c r="J303" s="277">
        <f>'Resultater - Vestdanmark'!J303+'Resultater - Østdanmark'!J303</f>
        <v>7105817.7032715734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-24532202.694618411</v>
      </c>
      <c r="I304" s="276">
        <f>'Resultater - Vestdanmark'!I304+'Resultater - Østdanmark'!I304</f>
        <v>-23704693.568640556</v>
      </c>
      <c r="J304" s="277">
        <f>'Resultater - Vestdanmark'!J304+'Resultater - Østdanmark'!J304</f>
        <v>-22211536.880299523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348617.06930478453</v>
      </c>
      <c r="I305" s="276">
        <f>'Resultater - Vestdanmark'!I305+'Resultater - Østdanmark'!I305</f>
        <v>336857.67656241788</v>
      </c>
      <c r="J305" s="277">
        <f>'Resultater - Vestdanmark'!J305+'Resultater - Østdanmark'!J305</f>
        <v>315639.03936207877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263505.94367690803</v>
      </c>
      <c r="I306" s="276">
        <f>'Resultater - Vestdanmark'!I306+'Resultater - Østdanmark'!I306</f>
        <v>255033.99459825942</v>
      </c>
      <c r="J306" s="277">
        <f>'Resultater - Vestdanmark'!J306+'Resultater - Østdanmark'!J306</f>
        <v>260938.98539286802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-641349.74683588033</v>
      </c>
      <c r="I307" s="276">
        <f>'Resultater - Vestdanmark'!I307+'Resultater - Østdanmark'!I307</f>
        <v>-579038.978917717</v>
      </c>
      <c r="J307" s="277">
        <f>'Resultater - Vestdanmark'!J307+'Resultater - Østdanmark'!J307</f>
        <v>-552262.60995042382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78894.37795433517</v>
      </c>
      <c r="I308" s="276">
        <f>'Resultater - Vestdanmark'!I308+'Resultater - Østdanmark'!I308</f>
        <v>71229.341367022964</v>
      </c>
      <c r="J308" s="277">
        <f>'Resultater - Vestdanmark'!J308+'Resultater - Østdanmark'!J308</f>
        <v>67935.498991669316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104547.38485235954</v>
      </c>
      <c r="I309" s="276">
        <f>'Resultater - Vestdanmark'!I309+'Resultater - Østdanmark'!I309</f>
        <v>98956.351809630025</v>
      </c>
      <c r="J309" s="277">
        <f>'Resultater - Vestdanmark'!J309+'Resultater - Østdanmark'!J309</f>
        <v>101247.56144787601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-167775.11450454078</v>
      </c>
      <c r="I310" s="276">
        <f>'Resultater - Vestdanmark'!I310+'Resultater - Østdanmark'!I310</f>
        <v>-148136.90290009041</v>
      </c>
      <c r="J310" s="277">
        <f>'Resultater - Vestdanmark'!J310+'Resultater - Østdanmark'!J310</f>
        <v>-141286.64149430586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68706.752116598291</v>
      </c>
      <c r="I311" s="276">
        <f>'Resultater - Vestdanmark'!I311+'Resultater - Østdanmark'!I311</f>
        <v>60664.571721103719</v>
      </c>
      <c r="J311" s="277">
        <f>'Resultater - Vestdanmark'!J311+'Resultater - Østdanmark'!J311</f>
        <v>57859.27360683302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724255.98356433213</v>
      </c>
      <c r="I312" s="276">
        <f>'Resultater - Vestdanmark'!I312+'Resultater - Østdanmark'!I312</f>
        <v>915719.57057749992</v>
      </c>
      <c r="J312" s="277">
        <f>'Resultater - Vestdanmark'!J312+'Resultater - Østdanmark'!J312</f>
        <v>1251054.5713941767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-2603481.405758102</v>
      </c>
      <c r="I313" s="276">
        <f>'Resultater - Vestdanmark'!I313+'Resultater - Østdanmark'!I313</f>
        <v>-3070648.4559146515</v>
      </c>
      <c r="J313" s="277">
        <f>'Resultater - Vestdanmark'!J313+'Resultater - Østdanmark'!J313</f>
        <v>-3910576.644683037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44574.706386485894</v>
      </c>
      <c r="I314" s="276">
        <f>'Resultater - Vestdanmark'!I314+'Resultater - Østdanmark'!I314</f>
        <v>52573.163394134572</v>
      </c>
      <c r="J314" s="277">
        <f>'Resultater - Vestdanmark'!J314+'Resultater - Østdanmark'!J314</f>
        <v>66953.735622259133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27964.583254485577</v>
      </c>
      <c r="I315" s="276">
        <f>'Resultater - Vestdanmark'!I315+'Resultater - Østdanmark'!I315</f>
        <v>33036.484502583786</v>
      </c>
      <c r="J315" s="277">
        <f>'Resultater - Vestdanmark'!J315+'Resultater - Østdanmark'!J315</f>
        <v>45941.075913107961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-68063.278347246393</v>
      </c>
      <c r="I316" s="276">
        <f>'Resultater - Vestdanmark'!I316+'Resultater - Østdanmark'!I316</f>
        <v>-75007.303569630283</v>
      </c>
      <c r="J316" s="277">
        <f>'Resultater - Vestdanmark'!J316+'Resultater - Østdanmark'!J316</f>
        <v>-97231.689812483673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10087.55463371877</v>
      </c>
      <c r="I317" s="276">
        <f>'Resultater - Vestdanmark'!I317+'Resultater - Østdanmark'!I317</f>
        <v>11116.718016818617</v>
      </c>
      <c r="J317" s="277">
        <f>'Resultater - Vestdanmark'!J317+'Resultater - Østdanmark'!J317</f>
        <v>14410.560392172278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11095.097161555068</v>
      </c>
      <c r="I318" s="276">
        <f>'Resultater - Vestdanmark'!I318+'Resultater - Østdanmark'!I318</f>
        <v>12818.565572565367</v>
      </c>
      <c r="J318" s="277">
        <f>'Resultater - Vestdanmark'!J318+'Resultater - Østdanmark'!J318</f>
        <v>17825.707030671503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-17805.143565739752</v>
      </c>
      <c r="I319" s="276">
        <f>'Resultater - Vestdanmark'!I319+'Resultater - Østdanmark'!I319</f>
        <v>-19189.294762953905</v>
      </c>
      <c r="J319" s="277">
        <f>'Resultater - Vestdanmark'!J319+'Resultater - Østdanmark'!J319</f>
        <v>-24875.011729755064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8784.9493671490909</v>
      </c>
      <c r="I320" s="276">
        <f>'Resultater - Vestdanmark'!I320+'Resultater - Østdanmark'!I320</f>
        <v>9467.8811356635852</v>
      </c>
      <c r="J320" s="277">
        <f>'Resultater - Vestdanmark'!J320+'Resultater - Østdanmark'!J320</f>
        <v>12273.179249934276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613620.0150142312</v>
      </c>
      <c r="I321" s="276">
        <f>'Resultater - Vestdanmark'!I321+'Resultater - Østdanmark'!I321</f>
        <v>636342.11967852374</v>
      </c>
      <c r="J321" s="277">
        <f>'Resultater - Vestdanmark'!J321+'Resultater - Østdanmark'!J321</f>
        <v>641014.79835312942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327737.51811917598</v>
      </c>
      <c r="I322" s="276">
        <f>'Resultater - Vestdanmark'!I322+'Resultater - Østdanmark'!I322</f>
        <v>315203.04622135824</v>
      </c>
      <c r="J322" s="277">
        <f>'Resultater - Vestdanmark'!J322+'Resultater - Østdanmark'!J322</f>
        <v>295981.61558740149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-24405341.506247833</v>
      </c>
      <c r="I323" s="276">
        <f>'Resultater - Vestdanmark'!I323+'Resultater - Østdanmark'!I323</f>
        <v>-23609199.233323783</v>
      </c>
      <c r="J323" s="277">
        <f>'Resultater - Vestdanmark'!J323+'Resultater - Østdanmark'!J323</f>
        <v>-22169484.132766336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317087.35725322756</v>
      </c>
      <c r="I324" s="276">
        <f>'Resultater - Vestdanmark'!I324+'Resultater - Østdanmark'!I324</f>
        <v>306743.44752943056</v>
      </c>
      <c r="J324" s="277">
        <f>'Resultater - Vestdanmark'!J324+'Resultater - Østdanmark'!J324</f>
        <v>288037.8925870235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13566.838006498305</v>
      </c>
      <c r="I325" s="276">
        <f>'Resultater - Vestdanmark'!I325+'Resultater - Østdanmark'!I325</f>
        <v>13134.762151756913</v>
      </c>
      <c r="J325" s="277">
        <f>'Resultater - Vestdanmark'!J325+'Resultater - Østdanmark'!J325</f>
        <v>13438.881019195247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7246.116013460778</v>
      </c>
      <c r="I326" s="276">
        <f>'Resultater - Vestdanmark'!I326+'Resultater - Østdanmark'!I326</f>
        <v>6506.1181927079469</v>
      </c>
      <c r="J326" s="277">
        <f>'Resultater - Vestdanmark'!J326+'Resultater - Østdanmark'!J326</f>
        <v>6205.2572358197176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-372574.14979966939</v>
      </c>
      <c r="I327" s="276">
        <f>'Resultater - Vestdanmark'!I327+'Resultater - Østdanmark'!I327</f>
        <v>-336481.74468650221</v>
      </c>
      <c r="J327" s="277">
        <f>'Resultater - Vestdanmark'!J327+'Resultater - Østdanmark'!J327</f>
        <v>-320921.8952212304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41090.289191876247</v>
      </c>
      <c r="I328" s="276">
        <f>'Resultater - Vestdanmark'!I328+'Resultater - Østdanmark'!I328</f>
        <v>37109.746353550465</v>
      </c>
      <c r="J328" s="277">
        <f>'Resultater - Vestdanmark'!J328+'Resultater - Østdanmark'!J328</f>
        <v>35393.688718704201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6570.1536799285823</v>
      </c>
      <c r="I329" s="276">
        <f>'Resultater - Vestdanmark'!I329+'Resultater - Østdanmark'!I329</f>
        <v>6254.3444938717212</v>
      </c>
      <c r="J329" s="277">
        <f>'Resultater - Vestdanmark'!J329+'Resultater - Østdanmark'!J329</f>
        <v>6399.1559599697976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3509.1519312182554</v>
      </c>
      <c r="I330" s="276">
        <f>'Resultater - Vestdanmark'!I330+'Resultater - Østdanmark'!I330</f>
        <v>3098.000864035339</v>
      </c>
      <c r="J330" s="277">
        <f>'Resultater - Vestdanmark'!J330+'Resultater - Østdanmark'!J330</f>
        <v>2954.7407084730107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-122657.08980386153</v>
      </c>
      <c r="I331" s="276">
        <f>'Resultater - Vestdanmark'!I331+'Resultater - Østdanmark'!I331</f>
        <v>-108919.12446623133</v>
      </c>
      <c r="J331" s="277">
        <f>'Resultater - Vestdanmark'!J331+'Resultater - Østdanmark'!J331</f>
        <v>-103882.40194756167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43678.396988286549</v>
      </c>
      <c r="I332" s="276">
        <f>'Resultater - Vestdanmark'!I332+'Resultater - Østdanmark'!I332</f>
        <v>38786.28431230619</v>
      </c>
      <c r="J332" s="277">
        <f>'Resultater - Vestdanmark'!J332+'Resultater - Østdanmark'!J332</f>
        <v>36992.69891058105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43152.111373008069</v>
      </c>
      <c r="I333" s="276">
        <f>'Resultater - Vestdanmark'!I333+'Resultater - Østdanmark'!I333</f>
        <v>54622.430504196993</v>
      </c>
      <c r="J333" s="277">
        <f>'Resultater - Vestdanmark'!J333+'Resultater - Østdanmark'!J333</f>
        <v>74785.059807865109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23047.758444880474</v>
      </c>
      <c r="I334" s="276">
        <f>'Resultater - Vestdanmark'!I334+'Resultater - Østdanmark'!I334</f>
        <v>27056.446453105033</v>
      </c>
      <c r="J334" s="277">
        <f>'Resultater - Vestdanmark'!J334+'Resultater - Østdanmark'!J334</f>
        <v>34531.188485196843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-1716277.1568810029</v>
      </c>
      <c r="I335" s="276">
        <f>'Resultater - Vestdanmark'!I335+'Resultater - Østdanmark'!I335</f>
        <v>-2026569.9919934007</v>
      </c>
      <c r="J335" s="277">
        <f>'Resultater - Vestdanmark'!J335+'Resultater - Østdanmark'!J335</f>
        <v>-2586439.8154894062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40543.269658642035</v>
      </c>
      <c r="I336" s="276">
        <f>'Resultater - Vestdanmark'!I336+'Resultater - Østdanmark'!I336</f>
        <v>47873.254816731947</v>
      </c>
      <c r="J336" s="277">
        <f>'Resultater - Vestdanmark'!J336+'Resultater - Østdanmark'!J336</f>
        <v>61098.946912398926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954.07204835454411</v>
      </c>
      <c r="I337" s="276">
        <f>'Resultater - Vestdanmark'!I337+'Resultater - Østdanmark'!I337</f>
        <v>1127.4636875930069</v>
      </c>
      <c r="J337" s="277">
        <f>'Resultater - Vestdanmark'!J337+'Resultater - Østdanmark'!J337</f>
        <v>1567.869452239446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509.57465138640373</v>
      </c>
      <c r="I338" s="276">
        <f>'Resultater - Vestdanmark'!I338+'Resultater - Østdanmark'!I338</f>
        <v>558.47315122377472</v>
      </c>
      <c r="J338" s="277">
        <f>'Resultater - Vestdanmark'!J338+'Resultater - Østdanmark'!J338</f>
        <v>723.94667751230054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-26200.842237009252</v>
      </c>
      <c r="I339" s="276">
        <f>'Resultater - Vestdanmark'!I339+'Resultater - Østdanmark'!I339</f>
        <v>-28882.97056991074</v>
      </c>
      <c r="J339" s="277">
        <f>'Resultater - Vestdanmark'!J339+'Resultater - Østdanmark'!J339</f>
        <v>-37440.887775810217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5253.8665984320505</v>
      </c>
      <c r="I340" s="276">
        <f>'Resultater - Vestdanmark'!I340+'Resultater - Østdanmark'!I340</f>
        <v>5791.6945176061427</v>
      </c>
      <c r="J340" s="277">
        <f>'Resultater - Vestdanmark'!J340+'Resultater - Østdanmark'!J340</f>
        <v>7507.7521524524063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462.03838922607775</v>
      </c>
      <c r="I341" s="276">
        <f>'Resultater - Vestdanmark'!I341+'Resultater - Østdanmark'!I341</f>
        <v>536.86136262424895</v>
      </c>
      <c r="J341" s="277">
        <f>'Resultater - Vestdanmark'!J341+'Resultater - Østdanmark'!J341</f>
        <v>746.56819532980978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246.77701387759424</v>
      </c>
      <c r="I342" s="276">
        <f>'Resultater - Vestdanmark'!I342+'Resultater - Østdanmark'!I342</f>
        <v>265.92666376257102</v>
      </c>
      <c r="J342" s="277">
        <f>'Resultater - Vestdanmark'!J342+'Resultater - Østdanmark'!J342</f>
        <v>344.71974932185128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-8625.7166819803479</v>
      </c>
      <c r="I343" s="276">
        <f>'Resultater - Vestdanmark'!I343+'Resultater - Østdanmark'!I343</f>
        <v>-9349.4161752805521</v>
      </c>
      <c r="J343" s="277">
        <f>'Resultater - Vestdanmark'!J343+'Resultater - Østdanmark'!J343</f>
        <v>-12119.61356054886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5584.7859804107484</v>
      </c>
      <c r="I344" s="276">
        <f>'Resultater - Vestdanmark'!I344+'Resultater - Østdanmark'!I344</f>
        <v>6053.3507308223543</v>
      </c>
      <c r="J344" s="277">
        <f>'Resultater - Vestdanmark'!J344+'Resultater - Østdanmark'!J344</f>
        <v>7846.9361325474947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1241441.5414695307</v>
      </c>
      <c r="I345" s="276">
        <f>'Resultater - Vestdanmark'!I345+'Resultater - Østdanmark'!I345</f>
        <v>1288261.9227973837</v>
      </c>
      <c r="J345" s="277">
        <f>'Resultater - Vestdanmark'!J345+'Resultater - Østdanmark'!J345</f>
        <v>1299316.8989705339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206239.95017814124</v>
      </c>
      <c r="I346" s="276">
        <f>'Resultater - Vestdanmark'!I346+'Resultater - Østdanmark'!I346</f>
        <v>198483.21408403112</v>
      </c>
      <c r="J346" s="277">
        <f>'Resultater - Vestdanmark'!J346+'Resultater - Østdanmark'!J346</f>
        <v>186608.59600526781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-13032265.787648994</v>
      </c>
      <c r="I347" s="276">
        <f>'Resultater - Vestdanmark'!I347+'Resultater - Østdanmark'!I347</f>
        <v>-12615458.522290116</v>
      </c>
      <c r="J347" s="277">
        <f>'Resultater - Vestdanmark'!J347+'Resultater - Østdanmark'!J347</f>
        <v>-11860715.847792447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197542.59544633992</v>
      </c>
      <c r="I348" s="276">
        <f>'Resultater - Vestdanmark'!I348+'Resultater - Østdanmark'!I348</f>
        <v>191224.64656918327</v>
      </c>
      <c r="J348" s="277">
        <f>'Resultater - Vestdanmark'!J348+'Resultater - Østdanmark'!J348</f>
        <v>179784.28544980817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87728.525972100848</v>
      </c>
      <c r="I349" s="276">
        <f>'Resultater - Vestdanmark'!I349+'Resultater - Østdanmark'!I349</f>
        <v>84952.738113946456</v>
      </c>
      <c r="J349" s="277">
        <f>'Resultater - Vestdanmark'!J349+'Resultater - Østdanmark'!J349</f>
        <v>86919.711722032924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14574.288213579908</v>
      </c>
      <c r="I350" s="276">
        <f>'Resultater - Vestdanmark'!I350+'Resultater - Østdanmark'!I350</f>
        <v>13088.71449796553</v>
      </c>
      <c r="J350" s="277">
        <f>'Resultater - Vestdanmark'!J350+'Resultater - Østdanmark'!J350</f>
        <v>12483.456024071169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-690710.01096458826</v>
      </c>
      <c r="I351" s="276">
        <f>'Resultater - Vestdanmark'!I351+'Resultater - Østdanmark'!I351</f>
        <v>-623932.36483945861</v>
      </c>
      <c r="J351" s="277">
        <f>'Resultater - Vestdanmark'!J351+'Resultater - Østdanmark'!J351</f>
        <v>-595080.00114746043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81819.432532653533</v>
      </c>
      <c r="I352" s="276">
        <f>'Resultater - Vestdanmark'!I352+'Resultater - Østdanmark'!I352</f>
        <v>73909.153218481864</v>
      </c>
      <c r="J352" s="277">
        <f>'Resultater - Vestdanmark'!J352+'Resultater - Østdanmark'!J352</f>
        <v>70491.388907800632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76654.605084511393</v>
      </c>
      <c r="I353" s="276">
        <f>'Resultater - Vestdanmark'!I353+'Resultater - Østdanmark'!I353</f>
        <v>73249.473027797256</v>
      </c>
      <c r="J353" s="277">
        <f>'Resultater - Vestdanmark'!J353+'Resultater - Østdanmark'!J353</f>
        <v>74945.472279271242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12734.584275986817</v>
      </c>
      <c r="I354" s="276">
        <f>'Resultater - Vestdanmark'!I354+'Resultater - Østdanmark'!I354</f>
        <v>11285.586090248351</v>
      </c>
      <c r="J354" s="277">
        <f>'Resultater - Vestdanmark'!J354+'Resultater - Østdanmark'!J354</f>
        <v>10763.709276826461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-459826.35229782818</v>
      </c>
      <c r="I355" s="276">
        <f>'Resultater - Vestdanmark'!I355+'Resultater - Østdanmark'!I355</f>
        <v>-409888.11465793045</v>
      </c>
      <c r="J355" s="277">
        <f>'Resultater - Vestdanmark'!J355+'Resultater - Østdanmark'!J355</f>
        <v>-390933.75097432674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156922.23534513626</v>
      </c>
      <c r="I356" s="276">
        <f>'Resultater - Vestdanmark'!I356+'Resultater - Østdanmark'!I356</f>
        <v>139880.10663613668</v>
      </c>
      <c r="J356" s="277">
        <f>'Resultater - Vestdanmark'!J356+'Resultater - Østdanmark'!J356</f>
        <v>133411.66239862746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90477.579370643434</v>
      </c>
      <c r="I357" s="276">
        <f>'Resultater - Vestdanmark'!I357+'Resultater - Østdanmark'!I357</f>
        <v>114603.18492399847</v>
      </c>
      <c r="J357" s="277">
        <f>'Resultater - Vestdanmark'!J357+'Resultater - Østdanmark'!J357</f>
        <v>157099.22505734637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15030.986831286333</v>
      </c>
      <c r="I358" s="276">
        <f>'Resultater - Vestdanmark'!I358+'Resultater - Østdanmark'!I358</f>
        <v>17656.974940770167</v>
      </c>
      <c r="J358" s="277">
        <f>'Resultater - Vestdanmark'!J358+'Resultater - Østdanmark'!J358</f>
        <v>22562.675698818741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-949805.38574983133</v>
      </c>
      <c r="I359" s="276">
        <f>'Resultater - Vestdanmark'!I359+'Resultater - Østdanmark'!I359</f>
        <v>-1122265.3564048836</v>
      </c>
      <c r="J359" s="277">
        <f>'Resultater - Vestdanmark'!J359+'Resultater - Østdanmark'!J359</f>
        <v>-1434068.3706876319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25258.095389318682</v>
      </c>
      <c r="I360" s="276">
        <f>'Resultater - Vestdanmark'!I360+'Resultater - Østdanmark'!I360</f>
        <v>29844.309002126869</v>
      </c>
      <c r="J360" s="277">
        <f>'Resultater - Vestdanmark'!J360+'Resultater - Østdanmark'!J360</f>
        <v>38136.060549959308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6393.7482407061234</v>
      </c>
      <c r="I361" s="276">
        <f>'Resultater - Vestdanmark'!I361+'Resultater - Østdanmark'!I361</f>
        <v>7557.3562981135019</v>
      </c>
      <c r="J361" s="277">
        <f>'Resultater - Vestdanmark'!J361+'Resultater - Østdanmark'!J361</f>
        <v>10509.383326391251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1062.1896195401109</v>
      </c>
      <c r="I362" s="276">
        <f>'Resultater - Vestdanmark'!I362+'Resultater - Østdanmark'!I362</f>
        <v>1164.3659891542745</v>
      </c>
      <c r="J362" s="277">
        <f>'Resultater - Vestdanmark'!J362+'Resultater - Østdanmark'!J362</f>
        <v>1509.3633192740594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-50339.679921755182</v>
      </c>
      <c r="I363" s="276">
        <f>'Resultater - Vestdanmark'!I363+'Resultater - Østdanmark'!I363</f>
        <v>-55504.734652481304</v>
      </c>
      <c r="J363" s="277">
        <f>'Resultater - Vestdanmark'!J363+'Resultater - Østdanmark'!J363</f>
        <v>-71950.581956920214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10461.556541465279</v>
      </c>
      <c r="I364" s="276">
        <f>'Resultater - Vestdanmark'!I364+'Resultater - Østdanmark'!I364</f>
        <v>11534.954548549194</v>
      </c>
      <c r="J364" s="277">
        <f>'Resultater - Vestdanmark'!J364+'Resultater - Østdanmark'!J364</f>
        <v>14952.718859230434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5586.669113270872</v>
      </c>
      <c r="I365" s="276">
        <f>'Resultater - Vestdanmark'!I365+'Resultater - Østdanmark'!I365</f>
        <v>6516.2392479641603</v>
      </c>
      <c r="J365" s="277">
        <f>'Resultater - Vestdanmark'!J365+'Resultater - Østdanmark'!J365</f>
        <v>9061.5889210391597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928.11004070224612</v>
      </c>
      <c r="I366" s="276">
        <f>'Resultater - Vestdanmark'!I366+'Resultater - Østdanmark'!I366</f>
        <v>1003.9605198203591</v>
      </c>
      <c r="J366" s="277">
        <f>'Resultater - Vestdanmark'!J366+'Resultater - Østdanmark'!J366</f>
        <v>1301.430303470836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-33512.633416062716</v>
      </c>
      <c r="I367" s="276">
        <f>'Resultater - Vestdanmark'!I367+'Resultater - Østdanmark'!I367</f>
        <v>-36463.457136332654</v>
      </c>
      <c r="J367" s="277">
        <f>'Resultater - Vestdanmark'!J367+'Resultater - Østdanmark'!J367</f>
        <v>-47267.44443598677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20064.314636026029</v>
      </c>
      <c r="I368" s="276">
        <f>'Resultater - Vestdanmark'!I368+'Resultater - Østdanmark'!I368</f>
        <v>21830.999301593587</v>
      </c>
      <c r="J368" s="277">
        <f>'Resultater - Vestdanmark'!J368+'Resultater - Østdanmark'!J368</f>
        <v>28299.443539102795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804386.70310434792</v>
      </c>
      <c r="I369" s="276">
        <f>'Resultater - Vestdanmark'!I369+'Resultater - Østdanmark'!I369</f>
        <v>833678.13526144146</v>
      </c>
      <c r="J369" s="277">
        <f>'Resultater - Vestdanmark'!J369+'Resultater - Østdanmark'!J369</f>
        <v>838871.78065986792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-1769650.7468295656</v>
      </c>
      <c r="I370" s="276">
        <f>'Resultater - Vestdanmark'!I370+'Resultater - Østdanmark'!I370</f>
        <v>-1710906.6208723611</v>
      </c>
      <c r="J370" s="277">
        <f>'Resultater - Vestdanmark'!J370+'Resultater - Østdanmark'!J370</f>
        <v>-1604798.1890884428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31623.568231448324</v>
      </c>
      <c r="I371" s="276">
        <f>'Resultater - Vestdanmark'!I371+'Resultater - Østdanmark'!I371</f>
        <v>30573.813708567115</v>
      </c>
      <c r="J371" s="277">
        <f>'Resultater - Vestdanmark'!J371+'Resultater - Østdanmark'!J371</f>
        <v>28677.66146583654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27393.452669089784</v>
      </c>
      <c r="I372" s="276">
        <f>'Resultater - Vestdanmark'!I372+'Resultater - Østdanmark'!I372</f>
        <v>26516.518845337214</v>
      </c>
      <c r="J372" s="277">
        <f>'Resultater - Vestdanmark'!J372+'Resultater - Østdanmark'!J372</f>
        <v>27130.475427609435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-45655.75444848297</v>
      </c>
      <c r="I373" s="276">
        <f>'Resultater - Vestdanmark'!I373+'Resultater - Østdanmark'!I373</f>
        <v>-41225.931040636213</v>
      </c>
      <c r="J373" s="277">
        <f>'Resultater - Vestdanmark'!J373+'Resultater - Østdanmark'!J373</f>
        <v>-39319.529605231066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4867.6770004669015</v>
      </c>
      <c r="I374" s="276">
        <f>'Resultater - Vestdanmark'!I374+'Resultater - Østdanmark'!I374</f>
        <v>4395.3827677029512</v>
      </c>
      <c r="J374" s="277">
        <f>'Resultater - Vestdanmark'!J374+'Resultater - Østdanmark'!J374</f>
        <v>4192.1280732426994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18360.165184548681</v>
      </c>
      <c r="I375" s="276">
        <f>'Resultater - Vestdanmark'!I375+'Resultater - Østdanmark'!I375</f>
        <v>17423.892491464536</v>
      </c>
      <c r="J375" s="277">
        <f>'Resultater - Vestdanmark'!J375+'Resultater - Østdanmark'!J375</f>
        <v>17827.320767488756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-23605.926665848303</v>
      </c>
      <c r="I376" s="276">
        <f>'Resultater - Vestdanmark'!I376+'Resultater - Østdanmark'!I376</f>
        <v>-20897.525642747976</v>
      </c>
      <c r="J376" s="277">
        <f>'Resultater - Vestdanmark'!J376+'Resultater - Østdanmark'!J376</f>
        <v>-19931.166075453275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7475.6545232364842</v>
      </c>
      <c r="I377" s="276">
        <f>'Resultater - Vestdanmark'!I377+'Resultater - Østdanmark'!I377</f>
        <v>6617.9432100699232</v>
      </c>
      <c r="J377" s="277">
        <f>'Resultater - Vestdanmark'!J377+'Resultater - Østdanmark'!J377</f>
        <v>6311.9111541129323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58624.558099339294</v>
      </c>
      <c r="I378" s="276">
        <f>'Resultater - Vestdanmark'!I378+'Resultater - Østdanmark'!I378</f>
        <v>74163.621396957125</v>
      </c>
      <c r="J378" s="277">
        <f>'Resultater - Vestdanmark'!J378+'Resultater - Østdanmark'!J378</f>
        <v>101427.22438887492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-128974.02781854646</v>
      </c>
      <c r="I379" s="276">
        <f>'Resultater - Vestdanmark'!I379+'Resultater - Østdanmark'!I379</f>
        <v>-152201.46182211352</v>
      </c>
      <c r="J379" s="277">
        <f>'Resultater - Vestdanmark'!J379+'Resultater - Østdanmark'!J379</f>
        <v>-194034.69013523898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4043.4373211296634</v>
      </c>
      <c r="I380" s="276">
        <f>'Resultater - Vestdanmark'!I380+'Resultater - Østdanmark'!I380</f>
        <v>4771.635665498914</v>
      </c>
      <c r="J380" s="277">
        <f>'Resultater - Vestdanmark'!J380+'Resultater - Østdanmark'!J380</f>
        <v>6083.140310935024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1996.4639536467182</v>
      </c>
      <c r="I381" s="276">
        <f>'Resultater - Vestdanmark'!I381+'Resultater - Østdanmark'!I381</f>
        <v>2358.8972545071661</v>
      </c>
      <c r="J381" s="277">
        <f>'Resultater - Vestdanmark'!J381+'Resultater - Østdanmark'!J381</f>
        <v>3280.3211198836862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-3327.4399227445301</v>
      </c>
      <c r="I382" s="276">
        <f>'Resultater - Vestdanmark'!I382+'Resultater - Østdanmark'!I382</f>
        <v>-3667.4397613606434</v>
      </c>
      <c r="J382" s="277">
        <f>'Resultater - Vestdanmark'!J382+'Resultater - Østdanmark'!J382</f>
        <v>-4754.0885795415734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622.38855232406365</v>
      </c>
      <c r="I383" s="276">
        <f>'Resultater - Vestdanmark'!I383+'Resultater - Østdanmark'!I383</f>
        <v>685.984593803351</v>
      </c>
      <c r="J383" s="277">
        <f>'Resultater - Vestdanmark'!J383+'Resultater - Østdanmark'!J383</f>
        <v>889.23928826360293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1338.1083581082171</v>
      </c>
      <c r="I384" s="276">
        <f>'Resultater - Vestdanmark'!I384+'Resultater - Østdanmark'!I384</f>
        <v>1550.0214187493596</v>
      </c>
      <c r="J384" s="277">
        <f>'Resultater - Vestdanmark'!J384+'Resultater - Østdanmark'!J384</f>
        <v>2155.4851473418225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-1720.4250318534218</v>
      </c>
      <c r="I385" s="276">
        <f>'Resultater - Vestdanmark'!I385+'Resultater - Østdanmark'!I385</f>
        <v>-1859.0342175831868</v>
      </c>
      <c r="J385" s="277">
        <f>'Resultater - Vestdanmark'!J385+'Resultater - Østdanmark'!J385</f>
        <v>-2409.859170941168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955.84850760346353</v>
      </c>
      <c r="I386" s="276">
        <f>'Resultater - Vestdanmark'!I386+'Resultater - Østdanmark'!I386</f>
        <v>1032.8581888548435</v>
      </c>
      <c r="J386" s="277">
        <f>'Resultater - Vestdanmark'!J386+'Resultater - Østdanmark'!J386</f>
        <v>1338.8902448118342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151198.05286083202</v>
      </c>
      <c r="I387" s="276">
        <f>'Resultater - Vestdanmark'!I387+'Resultater - Østdanmark'!I387</f>
        <v>156732.37506424324</v>
      </c>
      <c r="J387" s="277">
        <f>'Resultater - Vestdanmark'!J387+'Resultater - Østdanmark'!J387</f>
        <v>157762.29242869659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-743894.42007529351</v>
      </c>
      <c r="I388" s="276">
        <f>'Resultater - Vestdanmark'!I388+'Resultater - Østdanmark'!I388</f>
        <v>-719331.42286947451</v>
      </c>
      <c r="J388" s="277">
        <f>'Resultater - Vestdanmark'!J388+'Resultater - Østdanmark'!J388</f>
        <v>-674948.2423905977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12185.575596215564</v>
      </c>
      <c r="I389" s="276">
        <f>'Resultater - Vestdanmark'!I389+'Resultater - Østdanmark'!I389</f>
        <v>11783.214385748568</v>
      </c>
      <c r="J389" s="277">
        <f>'Resultater - Vestdanmark'!J389+'Resultater - Østdanmark'!J389</f>
        <v>11056.182986761743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22604.883417166257</v>
      </c>
      <c r="I390" s="276">
        <f>'Resultater - Vestdanmark'!I390+'Resultater - Østdanmark'!I390</f>
        <v>21882.340312054126</v>
      </c>
      <c r="J390" s="277">
        <f>'Resultater - Vestdanmark'!J390+'Resultater - Østdanmark'!J390</f>
        <v>22388.998329589063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-92680.022010381668</v>
      </c>
      <c r="I391" s="276">
        <f>'Resultater - Vestdanmark'!I391+'Resultater - Østdanmark'!I391</f>
        <v>-83691.786641251776</v>
      </c>
      <c r="J391" s="277">
        <f>'Resultater - Vestdanmark'!J391+'Resultater - Østdanmark'!J391</f>
        <v>-79821.646218534937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8234.3839053876236</v>
      </c>
      <c r="I392" s="276">
        <f>'Resultater - Vestdanmark'!I392+'Resultater - Østdanmark'!I392</f>
        <v>7435.8020853152429</v>
      </c>
      <c r="J392" s="277">
        <f>'Resultater - Vestdanmark'!J392+'Resultater - Østdanmark'!J392</f>
        <v>7091.9499657630931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21807.878272481728</v>
      </c>
      <c r="I393" s="276">
        <f>'Resultater - Vestdanmark'!I393+'Resultater - Østdanmark'!I393</f>
        <v>20714.671949764004</v>
      </c>
      <c r="J393" s="277">
        <f>'Resultater - Vestdanmark'!J393+'Resultater - Østdanmark'!J393</f>
        <v>21194.294077666509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-76639.115071864377</v>
      </c>
      <c r="I394" s="276">
        <f>'Resultater - Vestdanmark'!I394+'Resultater - Østdanmark'!I394</f>
        <v>-67907.906445121873</v>
      </c>
      <c r="J394" s="277">
        <f>'Resultater - Vestdanmark'!J394+'Resultater - Østdanmark'!J394</f>
        <v>-64767.656436098907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18202.871953106896</v>
      </c>
      <c r="I395" s="276">
        <f>'Resultater - Vestdanmark'!I395+'Resultater - Østdanmark'!I395</f>
        <v>16129.086621955503</v>
      </c>
      <c r="J395" s="277">
        <f>'Resultater - Vestdanmark'!J395+'Resultater - Østdanmark'!J395</f>
        <v>15383.232905333283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11019.474837461308</v>
      </c>
      <c r="I396" s="276">
        <f>'Resultater - Vestdanmark'!I396+'Resultater - Østdanmark'!I396</f>
        <v>13942.839608316204</v>
      </c>
      <c r="J396" s="277">
        <f>'Resultater - Vestdanmark'!J396+'Resultater - Østdanmark'!J396</f>
        <v>19074.89535728786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-54215.816200309637</v>
      </c>
      <c r="I397" s="276">
        <f>'Resultater - Vestdanmark'!I397+'Resultater - Østdanmark'!I397</f>
        <v>-63991.390739660194</v>
      </c>
      <c r="J397" s="277">
        <f>'Resultater - Vestdanmark'!J397+'Resultater - Østdanmark'!J397</f>
        <v>-81607.378398135887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1558.0661481516906</v>
      </c>
      <c r="I398" s="276">
        <f>'Resultater - Vestdanmark'!I398+'Resultater - Østdanmark'!I398</f>
        <v>1838.9987769665397</v>
      </c>
      <c r="J398" s="277">
        <f>'Resultater - Vestdanmark'!J398+'Resultater - Østdanmark'!J398</f>
        <v>2345.2509365858245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1647.4679356385941</v>
      </c>
      <c r="I399" s="276">
        <f>'Resultater - Vestdanmark'!I399+'Resultater - Østdanmark'!I399</f>
        <v>1946.6428751590347</v>
      </c>
      <c r="J399" s="277">
        <f>'Resultater - Vestdanmark'!J399+'Resultater - Østdanmark'!J399</f>
        <v>2707.0334343957684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-6754.6185361182361</v>
      </c>
      <c r="I400" s="276">
        <f>'Resultater - Vestdanmark'!I400+'Resultater - Østdanmark'!I400</f>
        <v>-7445.1826382015315</v>
      </c>
      <c r="J400" s="277">
        <f>'Resultater - Vestdanmark'!J400+'Resultater - Østdanmark'!J400</f>
        <v>-9651.162679150133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1052.8607953369108</v>
      </c>
      <c r="I401" s="276">
        <f>'Resultater - Vestdanmark'!I401+'Resultater - Østdanmark'!I401</f>
        <v>1160.5009034885063</v>
      </c>
      <c r="J401" s="277">
        <f>'Resultater - Vestdanmark'!J401+'Resultater - Østdanmark'!J401</f>
        <v>1504.3530230406561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1589.3813533645339</v>
      </c>
      <c r="I402" s="276">
        <f>'Resultater - Vestdanmark'!I402+'Resultater - Østdanmark'!I402</f>
        <v>1842.7676376119539</v>
      </c>
      <c r="J402" s="277">
        <f>'Resultater - Vestdanmark'!J402+'Resultater - Østdanmark'!J402</f>
        <v>2562.5828293905861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-5585.5401846810773</v>
      </c>
      <c r="I403" s="276">
        <f>'Resultater - Vestdanmark'!I403+'Resultater - Østdanmark'!I403</f>
        <v>-6041.0559548579531</v>
      </c>
      <c r="J403" s="277">
        <f>'Resultater - Vestdanmark'!J403+'Resultater - Østdanmark'!J403</f>
        <v>-7830.9984600010484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2327.4467722381351</v>
      </c>
      <c r="I404" s="276">
        <f>'Resultater - Vestdanmark'!I404+'Resultater - Østdanmark'!I404</f>
        <v>2517.2562935999922</v>
      </c>
      <c r="J404" s="277">
        <f>'Resultater - Vestdanmark'!J404+'Resultater - Østdanmark'!J404</f>
        <v>3263.1100102222117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2074307.374215838</v>
      </c>
      <c r="I405" s="276">
        <f>'Resultater - Vestdanmark'!I405+'Resultater - Østdanmark'!I405</f>
        <v>2150288.1854507397</v>
      </c>
      <c r="J405" s="277">
        <f>'Resultater - Vestdanmark'!J405+'Resultater - Østdanmark'!J405</f>
        <v>2164520.7260758132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-7521056.4692379907</v>
      </c>
      <c r="I406" s="276">
        <f>'Resultater - Vestdanmark'!I406+'Resultater - Østdanmark'!I406</f>
        <v>-7272900.0893288031</v>
      </c>
      <c r="J406" s="277">
        <f>'Resultater - Vestdanmark'!J406+'Resultater - Østdanmark'!J406</f>
        <v>-6824481.2752650417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295681.96678242408</v>
      </c>
      <c r="I407" s="276">
        <f>'Resultater - Vestdanmark'!I407+'Resultater - Østdanmark'!I407</f>
        <v>285925.97481756262</v>
      </c>
      <c r="J407" s="277">
        <f>'Resultater - Vestdanmark'!J407+'Resultater - Østdanmark'!J407</f>
        <v>268296.88807596971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362795.13500095531</v>
      </c>
      <c r="I408" s="276">
        <f>'Resultater - Vestdanmark'!I408+'Resultater - Østdanmark'!I408</f>
        <v>350840.45448944712</v>
      </c>
      <c r="J408" s="277">
        <f>'Resultater - Vestdanmark'!J408+'Resultater - Østdanmark'!J408</f>
        <v>358963.72314388631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-1096190.2797950064</v>
      </c>
      <c r="I409" s="276">
        <f>'Resultater - Vestdanmark'!I409+'Resultater - Østdanmark'!I409</f>
        <v>-988870.38725834398</v>
      </c>
      <c r="J409" s="277">
        <f>'Resultater - Vestdanmark'!J409+'Resultater - Østdanmark'!J409</f>
        <v>-943142.27686489455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233744.91463565463</v>
      </c>
      <c r="I410" s="276">
        <f>'Resultater - Vestdanmark'!I410+'Resultater - Østdanmark'!I410</f>
        <v>210860.67676010903</v>
      </c>
      <c r="J410" s="277">
        <f>'Resultater - Vestdanmark'!J410+'Resultater - Østdanmark'!J410</f>
        <v>201109.89401975719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458081.74348965334</v>
      </c>
      <c r="I411" s="276">
        <f>'Resultater - Vestdanmark'!I411+'Resultater - Østdanmark'!I411</f>
        <v>429568.9249919146</v>
      </c>
      <c r="J411" s="277">
        <f>'Resultater - Vestdanmark'!J411+'Resultater - Østdanmark'!J411</f>
        <v>439515.05218065623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-1186371.4479686453</v>
      </c>
      <c r="I412" s="276">
        <f>'Resultater - Vestdanmark'!I412+'Resultater - Østdanmark'!I412</f>
        <v>-1037805.0367140777</v>
      </c>
      <c r="J412" s="277">
        <f>'Resultater - Vestdanmark'!J412+'Resultater - Østdanmark'!J412</f>
        <v>-989814.05235735734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676271.92832627031</v>
      </c>
      <c r="I413" s="276">
        <f>'Resultater - Vestdanmark'!I413+'Resultater - Østdanmark'!I413</f>
        <v>591584.03938923357</v>
      </c>
      <c r="J413" s="277">
        <f>'Resultater - Vestdanmark'!J413+'Resultater - Østdanmark'!J413</f>
        <v>564227.55201863311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265224.08195726445</v>
      </c>
      <c r="I414" s="276">
        <f>'Resultater - Vestdanmark'!I414+'Resultater - Østdanmark'!I414</f>
        <v>335594.1098680346</v>
      </c>
      <c r="J414" s="277">
        <f>'Resultater - Vestdanmark'!J414+'Resultater - Østdanmark'!J414</f>
        <v>459140.76007668761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-961653.66917064704</v>
      </c>
      <c r="I415" s="276">
        <f>'Resultater - Vestdanmark'!I415+'Resultater - Østdanmark'!I415</f>
        <v>-1135076.8925542063</v>
      </c>
      <c r="J415" s="277">
        <f>'Resultater - Vestdanmark'!J415+'Resultater - Østdanmark'!J415</f>
        <v>-1447617.2402077359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37806.344019209348</v>
      </c>
      <c r="I416" s="276">
        <f>'Resultater - Vestdanmark'!I416+'Resultater - Østdanmark'!I416</f>
        <v>44624.285087134056</v>
      </c>
      <c r="J416" s="277">
        <f>'Resultater - Vestdanmark'!J416+'Resultater - Østdanmark'!J416</f>
        <v>56911.461107023875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46387.535336013323</v>
      </c>
      <c r="I417" s="276">
        <f>'Resultater - Vestdanmark'!I417+'Resultater - Østdanmark'!I417</f>
        <v>54755.446654422398</v>
      </c>
      <c r="J417" s="277">
        <f>'Resultater - Vestdanmark'!J417+'Resultater - Østdanmark'!J417</f>
        <v>76143.820060824364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-140160.5491177584</v>
      </c>
      <c r="I418" s="276">
        <f>'Resultater - Vestdanmark'!I418+'Resultater - Østdanmark'!I418</f>
        <v>-154332.37257789186</v>
      </c>
      <c r="J418" s="277">
        <f>'Resultater - Vestdanmark'!J418+'Resultater - Østdanmark'!J418</f>
        <v>-200060.48297134126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29886.978741449482</v>
      </c>
      <c r="I419" s="276">
        <f>'Resultater - Vestdanmark'!I419+'Resultater - Østdanmark'!I419</f>
        <v>32908.891748687543</v>
      </c>
      <c r="J419" s="277">
        <f>'Resultater - Vestdanmark'!J419+'Resultater - Østdanmark'!J419</f>
        <v>42659.674489039404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58571.025388344671</v>
      </c>
      <c r="I420" s="276">
        <f>'Resultater - Vestdanmark'!I420+'Resultater - Østdanmark'!I420</f>
        <v>67042.548987177433</v>
      </c>
      <c r="J420" s="277">
        <f>'Resultater - Vestdanmark'!J420+'Resultater - Østdanmark'!J420</f>
        <v>93230.46561407861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-151691.24984032079</v>
      </c>
      <c r="I421" s="276">
        <f>'Resultater - Vestdanmark'!I421+'Resultater - Østdanmark'!I421</f>
        <v>-161969.57220393119</v>
      </c>
      <c r="J421" s="277">
        <f>'Resultater - Vestdanmark'!J421+'Resultater - Østdanmark'!J421</f>
        <v>-209960.55656065157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86469.152823414028</v>
      </c>
      <c r="I422" s="276">
        <f>'Resultater - Vestdanmark'!I422+'Resultater - Østdanmark'!I422</f>
        <v>92328.144875776328</v>
      </c>
      <c r="J422" s="277">
        <f>'Resultater - Vestdanmark'!J422+'Resultater - Østdanmark'!J422</f>
        <v>119684.63224637673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>
        <f ca="1">'Resultater - Vestdanmark'!H423+'Resultater - Østdanmark'!H423</f>
        <v>827707.93518034508</v>
      </c>
      <c r="I423" s="276">
        <f ca="1">'Resultater - Vestdanmark'!I423+'Resultater - Østdanmark'!I423</f>
        <v>783305.19520584797</v>
      </c>
      <c r="J423" s="277">
        <f ca="1">'Resultater - Vestdanmark'!J423+'Resultater - Østdanmark'!J423</f>
        <v>712886.15579109383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>
        <f ca="1">'Resultater - Vestdanmark'!H424+'Resultater - Østdanmark'!H424</f>
        <v>896683.59644537373</v>
      </c>
      <c r="I424" s="276">
        <f ca="1">'Resultater - Vestdanmark'!I424+'Resultater - Østdanmark'!I424</f>
        <v>848580.62813966849</v>
      </c>
      <c r="J424" s="277">
        <f ca="1">'Resultater - Vestdanmark'!J424+'Resultater - Østdanmark'!J424</f>
        <v>772293.33544035186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-606450.26032409817</v>
      </c>
      <c r="I425" s="276">
        <f ca="1">'Resultater - Vestdanmark'!I425+'Resultater - Østdanmark'!I425</f>
        <v>-573916.98128676519</v>
      </c>
      <c r="J425" s="277">
        <f ca="1">'Resultater - Vestdanmark'!J425+'Resultater - Østdanmark'!J425</f>
        <v>-542123.43798862817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2679978.7351939101</v>
      </c>
      <c r="J426" s="277">
        <f>'Resultater - Vestdanmark'!J426+'Resultater - Østdanmark'!J426</f>
        <v>2630197.4122624523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104331.85268210551</v>
      </c>
      <c r="J427" s="277">
        <f>'Resultater - Vestdanmark'!J427+'Resultater - Østdanmark'!J427</f>
        <v>102393.86056963103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13709.205442428665</v>
      </c>
      <c r="J428" s="277">
        <f>'Resultater - Vestdanmark'!J428+'Resultater - Østdanmark'!J428</f>
        <v>13454.553278849517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1388963.5194082048</v>
      </c>
      <c r="J429" s="277">
        <f>'Resultater - Vestdanmark'!J429+'Resultater - Østdanmark'!J429</f>
        <v>1363163.1499531572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1262146.510248078</v>
      </c>
      <c r="J430" s="277">
        <f>'Resultater - Vestdanmark'!J430+'Resultater - Østdanmark'!J430</f>
        <v>1227467.8963796864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24180.745341776219</v>
      </c>
      <c r="J431" s="277">
        <f>'Resultater - Vestdanmark'!J431+'Resultater - Østdanmark'!J431</f>
        <v>23516.35755165149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112563.08046776136</v>
      </c>
      <c r="J432" s="277">
        <f>'Resultater - Vestdanmark'!J432+'Resultater - Østdanmark'!J432</f>
        <v>109470.30829616069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111066.04139884243</v>
      </c>
      <c r="J433" s="277">
        <f>'Resultater - Vestdanmark'!J433+'Resultater - Østdanmark'!J433</f>
        <v>108014.40172604074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90971.147089593054</v>
      </c>
      <c r="J434" s="277">
        <f>'Resultater - Vestdanmark'!J434+'Resultater - Østdanmark'!J434</f>
        <v>88074.943427410559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44121.743543858545</v>
      </c>
      <c r="J435" s="277">
        <f>'Resultater - Vestdanmark'!J435+'Resultater - Østdanmark'!J435</f>
        <v>42717.06129765416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5823.9227067081456</v>
      </c>
      <c r="J436" s="277">
        <f>'Resultater - Vestdanmark'!J436+'Resultater - Østdanmark'!J436</f>
        <v>5638.5093442183434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59861.078960088766</v>
      </c>
      <c r="J437" s="277">
        <f>'Resultater - Vestdanmark'!J437+'Resultater - Østdanmark'!J437</f>
        <v>57955.311234244218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157498.34817848625</v>
      </c>
      <c r="J438" s="277">
        <f>'Resultater - Vestdanmark'!J438+'Resultater - Østdanmark'!J438</f>
        <v>150587.0929141927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580.93006043583182</v>
      </c>
      <c r="J439" s="280">
        <f>'Resultater - Vestdanmark'!J439+'Resultater - Østdanmark'!J439</f>
        <v>555.43800934572437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4752039274.4896984</v>
      </c>
      <c r="J440" s="274">
        <f>'Resultater - Vestdanmark'!J440+'Resultater - Østdanmark'!J440</f>
        <v>4752039274.4896984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131956390.2838318</v>
      </c>
      <c r="J441" s="277">
        <f>'Resultater - Vestdanmark'!J441+'Resultater - Østdanmark'!J441</f>
        <v>131956390.2838318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62759746.598407798</v>
      </c>
      <c r="J443" s="277">
        <f>'Resultater - Vestdanmark'!J443+'Resultater - Østdanmark'!J443</f>
        <v>62759746.598407805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115059535.4304143</v>
      </c>
      <c r="J444" s="277">
        <f>'Resultater - Vestdanmark'!J444+'Resultater - Østdanmark'!J444</f>
        <v>115059535.4304143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1346116103.3222597</v>
      </c>
      <c r="J445" s="277">
        <f>'Resultater - Vestdanmark'!J445+'Resultater - Østdanmark'!J445</f>
        <v>1346116103.3222597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193911524.74636257</v>
      </c>
      <c r="J446" s="277">
        <f>'Resultater - Vestdanmark'!J446+'Resultater - Østdanmark'!J446</f>
        <v>193911524.74636257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1828078772.7125964</v>
      </c>
      <c r="J449" s="277">
        <f>'Resultater - Vestdanmark'!J449+'Resultater - Østdanmark'!J449</f>
        <v>1828078772.7125964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131151778.14795476</v>
      </c>
      <c r="J450" s="277">
        <f>'Resultater - Vestdanmark'!J450+'Resultater - Østdanmark'!J450</f>
        <v>131151778.14795476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97358068.441119805</v>
      </c>
      <c r="J453" s="277">
        <f>'Resultater - Vestdanmark'!J453+'Resultater - Østdanmark'!J453</f>
        <v>97358068.441119805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3223276216.3233547</v>
      </c>
      <c r="J454" s="277">
        <f>'Resultater - Vestdanmark'!J454+'Resultater - Østdanmark'!J454</f>
        <v>3223276216.3233547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12195000.399999995</v>
      </c>
      <c r="I455" s="276">
        <f>'Resultater - Vestdanmark'!I455+'Resultater - Østdanmark'!I455</f>
        <v>12195000.399999997</v>
      </c>
      <c r="J455" s="277">
        <f>'Resultater - Vestdanmark'!J455+'Resultater - Østdanmark'!J455</f>
        <v>12195000.399999999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361184.4</v>
      </c>
      <c r="I456" s="276">
        <f>'Resultater - Vestdanmark'!I456+'Resultater - Østdanmark'!I456</f>
        <v>361184.4</v>
      </c>
      <c r="J456" s="277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4390946.2499999981</v>
      </c>
      <c r="I457" s="276">
        <f>'Resultater - Vestdanmark'!I457+'Resultater - Østdanmark'!I457</f>
        <v>4390946.25</v>
      </c>
      <c r="J457" s="277">
        <f>'Resultater - Vestdanmark'!J457+'Resultater - Østdanmark'!J457</f>
        <v>4390946.25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87814468.774844885</v>
      </c>
      <c r="J458" s="277">
        <f>'Resultater - Vestdanmark'!J458+'Resultater - Østdanmark'!J458</f>
        <v>84071513.096495241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-93138.953061874388</v>
      </c>
      <c r="J459" s="283">
        <f>'Resultater - Vestdanmark'!J459+'Resultater - Østdanmark'!J459</f>
        <v>-89169.049490148347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119215807.62637229</v>
      </c>
      <c r="J460" s="277">
        <f>'Resultater - Vestdanmark'!J460+'Resultater - Østdanmark'!J460</f>
        <v>116937817.70869543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-248800.47137658359</v>
      </c>
      <c r="J461" s="283">
        <f>'Resultater - Vestdanmark'!J461+'Resultater - Østdanmark'!J461</f>
        <v>-244046.3621976618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47384.943038059275</v>
      </c>
      <c r="J462" s="277">
        <f>'Resultater - Vestdanmark'!J462+'Resultater - Østdanmark'!J462</f>
        <v>48934.421828019105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72263542.273224667</v>
      </c>
      <c r="J463" s="277">
        <f>'Resultater - Vestdanmark'!J463+'Resultater - Østdanmark'!J463</f>
        <v>75720860.032909796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33002600</v>
      </c>
      <c r="I464" s="276">
        <f>'Resultater - Vestdanmark'!I464+'Resultater - Østdanmark'!I464</f>
        <v>33002600.000000004</v>
      </c>
      <c r="J464" s="277">
        <f>'Resultater - Vestdanmark'!J464+'Resultater - Østdanmark'!J464</f>
        <v>33002600.000000004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2165561.9999999995</v>
      </c>
      <c r="I465" s="276">
        <f>'Resultater - Vestdanmark'!I465+'Resultater - Østdanmark'!I465</f>
        <v>2165562</v>
      </c>
      <c r="J465" s="277">
        <f>'Resultater - Vestdanmark'!J465+'Resultater - Østdanmark'!J465</f>
        <v>2165562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34543125.5</v>
      </c>
      <c r="J466" s="277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74480686.960000008</v>
      </c>
      <c r="J467" s="277">
        <f>'Resultater - Vestdanmark'!J467+'Resultater - Østdanmark'!J467</f>
        <v>74179468.040000021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0</v>
      </c>
      <c r="J471" s="277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38439586.355437025</v>
      </c>
      <c r="J473" s="277">
        <f>'Resultater - Vestdanmark'!J473+'Resultater - Østdanmark'!J473</f>
        <v>40045479.800409868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19767884.980272144</v>
      </c>
      <c r="J474" s="283">
        <f ca="1">'Resultater - Vestdanmark'!J474+'Resultater - Østdanmark'!J474</f>
        <v>19494527.084190913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34394000.270147577</v>
      </c>
      <c r="J475" s="283">
        <f>'Resultater - Vestdanmark'!J475+'Resultater - Østdanmark'!J475</f>
        <v>32928009.296127297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21360055.117827062</v>
      </c>
      <c r="J476" s="283">
        <f>'Resultater - Vestdanmark'!J476+'Resultater - Østdanmark'!J476</f>
        <v>20951904.628657635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25320.198569955341</v>
      </c>
      <c r="J477" s="283">
        <f>'Resultater - Vestdanmark'!J477+'Resultater - Østdanmark'!J477</f>
        <v>26148.164335582729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6383279.5674681785</v>
      </c>
      <c r="J478" s="283">
        <f>'Resultater - Vestdanmark'!J478+'Resultater - Østdanmark'!J478</f>
        <v>6688675.969573698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117737235.03762515</v>
      </c>
      <c r="J479" s="283">
        <f ca="1">'Resultater - Vestdanmark'!J479+'Resultater - Østdanmark'!J479</f>
        <v>114841624.75445335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151170766.56868804</v>
      </c>
      <c r="I480" s="282">
        <f ca="1">'Resultater - Vestdanmark'!I480+'Resultater - Østdanmark'!I480</f>
        <v>192875635.84833732</v>
      </c>
      <c r="J480" s="283">
        <f ca="1">'Resultater - Vestdanmark'!J480+'Resultater - Østdanmark'!J480</f>
        <v>186695533.4170824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19.591464268115235</v>
      </c>
      <c r="I481" s="286">
        <f>'Resultater - Vestdanmark'!I481+'Resultater - Østdanmark'!I481</f>
        <v>22.15559114867397</v>
      </c>
      <c r="J481" s="287">
        <f>'Resultater - Vestdanmark'!J481+'Resultater - Østdanmark'!J481</f>
        <v>21.093049451302555</v>
      </c>
      <c r="L481" s="167" t="s">
        <v>215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3.9505661308495017</v>
      </c>
      <c r="I482" s="286">
        <f>'Resultater - Vestdanmark'!I482+'Resultater - Østdanmark'!I482</f>
        <v>7.9746013970399474</v>
      </c>
      <c r="J482" s="287">
        <f>'Resultater - Vestdanmark'!J482+'Resultater - Østdanmark'!J482</f>
        <v>8.2650661272225623</v>
      </c>
      <c r="L482" s="167" t="s">
        <v>219</v>
      </c>
      <c r="M482" s="165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3.8615553516557766</v>
      </c>
      <c r="I483" s="286">
        <f>'Resultater - Vestdanmark'!I483+'Resultater - Østdanmark'!I483</f>
        <v>3.9939341290275325</v>
      </c>
      <c r="J483" s="287">
        <f>'Resultater - Vestdanmark'!J483+'Resultater - Østdanmark'!J483</f>
        <v>4.152697774809285</v>
      </c>
      <c r="L483" s="167" t="s">
        <v>216</v>
      </c>
      <c r="M483" s="165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43.629875452920871</v>
      </c>
      <c r="I484" s="286">
        <f ca="1">'Resultater - Vestdanmark'!I484+'Resultater - Østdanmark'!I484</f>
        <v>41.289332451561776</v>
      </c>
      <c r="J484" s="287">
        <f ca="1">'Resultater - Vestdanmark'!J484+'Resultater - Østdanmark'!J484</f>
        <v>37.486106778285574</v>
      </c>
      <c r="L484" s="167" t="s">
        <v>217</v>
      </c>
      <c r="M484" s="165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218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0</v>
      </c>
      <c r="J486" s="287">
        <f ca="1">'Resultater - Vestdanmark'!J486+'Resultater - Østdanmark'!J486</f>
        <v>0</v>
      </c>
      <c r="L486" s="166" t="s">
        <v>109</v>
      </c>
      <c r="M486" s="165">
        <v>16604.849999999999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>'Resultater - Vestdanmark'!H487+'Resultater - Østdanmark'!H487</f>
        <v>0</v>
      </c>
      <c r="I487" s="286">
        <f>'Resultater - Vestdanmark'!I487+'Resultater - Østdanmark'!I487</f>
        <v>0</v>
      </c>
      <c r="J487" s="287">
        <f>'Resultater - Vestdanmark'!J487+'Resultater - Østdanmark'!J487</f>
        <v>0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>'Resultater - Vestdanmark'!H488+'Resultater - Østdanmark'!H488</f>
        <v>0</v>
      </c>
      <c r="I488" s="286">
        <f>'Resultater - Vestdanmark'!I488+'Resultater - Østdanmark'!I488</f>
        <v>0</v>
      </c>
      <c r="J488" s="287">
        <f>'Resultater - Vestdanmark'!J488+'Resultater - Østdanmark'!J488</f>
        <v>0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19.350563058967378</v>
      </c>
      <c r="J489" s="290">
        <f ca="1">'Resultater - Vestdanmark'!J489+'Resultater - Østdanmark'!J489</f>
        <v>19.325434207055554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0</v>
      </c>
      <c r="J490" s="293">
        <f>'Resultater - Vestdanmark'!J490+'Resultater - Østdanmark'!J490</f>
        <v>0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0</v>
      </c>
      <c r="J491" s="293">
        <f>'Resultater - Vestdanmark'!J491+'Resultater - Østdanmark'!J491</f>
        <v>0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0</v>
      </c>
      <c r="J492" s="293">
        <f>'Resultater - Vestdanmark'!J492+'Resultater - Østdanmark'!J492</f>
        <v>0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339162.61425562343</v>
      </c>
      <c r="I493" s="292">
        <f>'Resultater - Vestdanmark'!I493+'Resultater - Østdanmark'!I493</f>
        <v>356008.99093928334</v>
      </c>
      <c r="J493" s="293">
        <f>'Resultater - Vestdanmark'!J493+'Resultater - Østdanmark'!J493</f>
        <v>368976.16639386443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217064.073123599</v>
      </c>
      <c r="I494" s="292">
        <f>'Resultater - Vestdanmark'!I494+'Resultater - Østdanmark'!I494</f>
        <v>227845.75420114136</v>
      </c>
      <c r="J494" s="293">
        <f>'Resultater - Vestdanmark'!J494+'Resultater - Østdanmark'!J494</f>
        <v>236144.74649207323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C95" sqref="C95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7109375" style="187" bestFit="1" customWidth="1"/>
    <col min="8" max="8" width="11.710937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38" t="s">
        <v>248</v>
      </c>
      <c r="B1" s="438"/>
      <c r="C1" s="438"/>
      <c r="F1" s="439" t="s">
        <v>250</v>
      </c>
      <c r="G1" s="439"/>
      <c r="H1" s="439"/>
      <c r="I1" s="439"/>
      <c r="J1" s="439"/>
      <c r="K1" s="439"/>
      <c r="L1" s="439"/>
      <c r="M1" s="440"/>
      <c r="N1" s="441" t="s">
        <v>251</v>
      </c>
      <c r="O1" s="442"/>
      <c r="P1" s="443"/>
      <c r="Q1" s="435" t="s">
        <v>122</v>
      </c>
      <c r="R1" s="435"/>
      <c r="S1" s="435"/>
      <c r="T1" s="436"/>
      <c r="U1" s="437" t="s">
        <v>229</v>
      </c>
      <c r="V1" s="435"/>
      <c r="W1" s="435"/>
      <c r="X1" s="436"/>
    </row>
    <row r="2" spans="1:26" x14ac:dyDescent="0.25">
      <c r="A2" s="194" t="s">
        <v>128</v>
      </c>
      <c r="B2" s="194" t="s">
        <v>314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287</v>
      </c>
      <c r="U2" s="195" t="s">
        <v>235</v>
      </c>
      <c r="V2" s="194" t="s">
        <v>234</v>
      </c>
      <c r="W2" s="194" t="s">
        <v>236</v>
      </c>
      <c r="X2" s="196" t="s">
        <v>286</v>
      </c>
      <c r="Y2" s="95" t="s">
        <v>281</v>
      </c>
      <c r="Z2" s="194" t="s">
        <v>303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258397.36122446082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193898.88574926884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352020220.25091624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352020220.25091624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352020220.25091624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9570947.4163383078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7001629.6154696662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2569317.8008686416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887836.84200071916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887836.84200071916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25948.722839676255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-223604.86394482077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15764158.337739769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75399.16825098735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3451069.2602304816</v>
      </c>
      <c r="O16" s="190">
        <f t="shared" si="1"/>
        <v>3451069.2602304816</v>
      </c>
      <c r="P16" s="200">
        <f t="shared" ref="P16:P81" si="10">SUM(J16,L16)</f>
        <v>75399.16825098735</v>
      </c>
      <c r="Q16" s="187">
        <f>IFERROR(VLOOKUP(A16,[1]Energiindhold!$A$2:$C$11,3,FALSE),IFERROR(VLOOKUP(A16,[1]Biogasudbytte!$A$2:$B$18,2,FALSE)*[1]Energiindhold!$C$10,0))*O16</f>
        <v>6.3495360551665581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0.13872504468578536</v>
      </c>
      <c r="S16" s="187">
        <f>IFERROR(VLOOKUP(A16,[1]Biogasudbytte!$A$2:$B$18,2,FALSE)*[1]Energiindhold!$C$10,0)*J16*IFERROR(VLOOKUP(A16,Biogasanlæg!$F$3:$G$8,2,FALSE),1)</f>
        <v>0.13872504468578536</v>
      </c>
      <c r="T16" s="188">
        <f t="shared" ref="T16:T81" si="11">R16-S16</f>
        <v>0</v>
      </c>
      <c r="U16" s="186">
        <f>O16*IFERROR(VLOOKUP(A16,[1]Tørstofindhold!A$2:B$24,2,FALSE),0)</f>
        <v>966299.39286453498</v>
      </c>
      <c r="V16" s="187">
        <f>IF(D16=År1,P16,SUM(O16,P16))*IFERROR(VLOOKUP(A16,[1]Tørstofindhold!A$2:B$24,2,FALSE),0)</f>
        <v>21111.767110276462</v>
      </c>
      <c r="W16" s="187">
        <f>J16*IFERROR(VLOOKUP(A16,[1]Tørstofindhold!A$2:B$24,2,FALSE),0)</f>
        <v>21111.767110276462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185022.9677154524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-76351.578443047096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2717336.5701075909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53194.904606816119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1162838.9310658472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1216033.8356726633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12.325575345409394</v>
      </c>
      <c r="S19" s="187">
        <f>IFERROR(VLOOKUP(A19,[1]Biogasudbytte!$A$2:$B$18,2,FALSE)*[1]Energiindhold!$C$10,0)*J19*IFERROR(VLOOKUP(A19,Biogasanlæg!$F$3:$G$8,2,FALSE),1)</f>
        <v>0.30669735030678263</v>
      </c>
      <c r="T19" s="188">
        <f t="shared" si="11"/>
        <v>12.018877995102612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1033628.7603217638</v>
      </c>
      <c r="W19" s="187">
        <f>J19*IFERROR(VLOOKUP(A19,[1]Tørstofindhold!A$2:B$24,2,FALSE),0)</f>
        <v>45215.6689157937</v>
      </c>
      <c r="X19" s="188">
        <f t="shared" si="12"/>
        <v>988413.09140597016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766472.09789043549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766472.09789043549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2146636.3631328358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2027113.3294623662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6843435.2641521301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2843.3935258054057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675046.7637937516</v>
      </c>
      <c r="O25" s="190">
        <f t="shared" si="1"/>
        <v>675046.7637937516</v>
      </c>
      <c r="P25" s="200">
        <f t="shared" si="10"/>
        <v>2843.3935258054057</v>
      </c>
      <c r="Q25" s="187">
        <f>IFERROR(VLOOKUP(A25,[1]Energiindhold!$A$2:$C$11,3,FALSE),IFERROR(VLOOKUP(A25,[1]Biogasudbytte!$A$2:$B$18,2,FALSE)*[1]Energiindhold!$C$10,0))*O25</f>
        <v>2.3119406594466687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9.7382247507899044E-3</v>
      </c>
      <c r="S25" s="187">
        <f>IFERROR(VLOOKUP(A25,[1]Biogasudbytte!$A$2:$B$18,2,FALSE)*[1]Energiindhold!$C$10,0)*J25*IFERROR(VLOOKUP(A25,Biogasanlæg!$F$3:$G$8,2,FALSE),1)</f>
        <v>9.7382247507899044E-3</v>
      </c>
      <c r="T25" s="188">
        <f t="shared" si="11"/>
        <v>0</v>
      </c>
      <c r="U25" s="186">
        <f>O25*IFERROR(VLOOKUP(A25,[1]Tørstofindhold!A$2:B$24,2,FALSE),0)</f>
        <v>209264.496776063</v>
      </c>
      <c r="V25" s="187">
        <f>IF(D25=År1,P25,SUM(O25,P25))*IFERROR(VLOOKUP(A25,[1]Tørstofindhold!A$2:B$24,2,FALSE),0)</f>
        <v>881.45199299967578</v>
      </c>
      <c r="W25" s="187">
        <f>J25*IFERROR(VLOOKUP(A25,[1]Tørstofindhold!A$2:B$24,2,FALSE),0)</f>
        <v>881.45199299967578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569996.93502990273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-569996.93502990273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7590675.3960505147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314874.94627501385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1618746.6633055378</v>
      </c>
      <c r="O29" s="190">
        <f t="shared" si="1"/>
        <v>1274488.0820395502</v>
      </c>
      <c r="P29" s="200">
        <f t="shared" si="10"/>
        <v>314874.94627501385</v>
      </c>
      <c r="Q29" s="187">
        <f>IFERROR(VLOOKUP(A29,[1]Energiindhold!$A$2:$C$11,3,FALSE),IFERROR(VLOOKUP(A29,[1]Biogasudbytte!$A$2:$B$18,2,FALSE)*[1]Energiindhold!$C$10,0))*O29</f>
        <v>4.575412214521986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1.1304010571272998</v>
      </c>
      <c r="S29" s="187">
        <f>IFERROR(VLOOKUP(A29,[1]Biogasudbytte!$A$2:$B$18,2,FALSE)*[1]Energiindhold!$C$10,0)*J29*IFERROR(VLOOKUP(A29,Biogasanlæg!$F$3:$G$8,2,FALSE),1)</f>
        <v>1.1304010571272998</v>
      </c>
      <c r="T29" s="188">
        <f t="shared" si="11"/>
        <v>0</v>
      </c>
      <c r="U29" s="186">
        <f>O29*IFERROR(VLOOKUP(A29,[1]Tørstofindhold!A$2:B$24,2,FALSE),0)</f>
        <v>382346.42461186502</v>
      </c>
      <c r="V29" s="187">
        <f>IF(D29=År1,P29,SUM(O29,P29))*IFERROR(VLOOKUP(A29,[1]Tørstofindhold!A$2:B$24,2,FALSE),0)</f>
        <v>94462.483882504152</v>
      </c>
      <c r="W29" s="187">
        <f>J29*IFERROR(VLOOKUP(A29,[1]Tørstofindhold!A$2:B$24,2,FALSE),0)</f>
        <v>94462.483882504152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1610618.3345669576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1610618.3345669576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171006.78248665464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171006.78248665464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171006.78248665464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3.146524797754445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3.146524797754445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70967.814731961684</v>
      </c>
      <c r="W34" s="187">
        <f>J34*IFERROR(VLOOKUP(A34,[1]Tørstofindhold!A$2:B$24,2,FALSE),0)</f>
        <v>0</v>
      </c>
      <c r="X34" s="188">
        <f t="shared" si="12"/>
        <v>70967.814731961684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309</v>
      </c>
      <c r="B35" s="189" t="s">
        <v>315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x14ac:dyDescent="0.25">
      <c r="A36" s="189" t="s">
        <v>310</v>
      </c>
      <c r="B36" s="189" t="s">
        <v>315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485762.00237315823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485762.00237315823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242881.00118657912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28781.895095316839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155443.84075941064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80830.79719489353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74613.043564517109</v>
      </c>
      <c r="N40" s="199">
        <f t="shared" si="9"/>
        <v>0</v>
      </c>
      <c r="O40" s="190">
        <f t="shared" si="1"/>
        <v>0</v>
      </c>
      <c r="P40" s="200">
        <f t="shared" si="10"/>
        <v>80830.79719489353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2.8290779018212735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2.8290779018212735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377517.57644613879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4141.9679702877811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-467792.00917977782</v>
      </c>
      <c r="O41" s="190">
        <f t="shared" si="1"/>
        <v>0</v>
      </c>
      <c r="P41" s="200">
        <f t="shared" si="10"/>
        <v>4141.9679702877811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1.1241466750079849E-2</v>
      </c>
      <c r="S41" s="187">
        <f>IFERROR(VLOOKUP(A41,[1]Biogasudbytte!$A$2:$B$18,2,FALSE)*[1]Energiindhold!$C$10,0)*J41*IFERROR(VLOOKUP(A41,Biogasanlæg!$F$3:$G$8,2,FALSE),1)</f>
        <v>1.1241466750079849E-2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828.39359405755624</v>
      </c>
      <c r="W41" s="187">
        <f>J41*IFERROR(VLOOKUP(A41,[1]Tørstofindhold!A$2:B$24,2,FALSE),0)</f>
        <v>828.39359405755624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2328677.081002241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2328677.081002241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2328677.081002241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33.750841721162331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33.750841721162331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1151724.8729790249</v>
      </c>
      <c r="W49" s="187">
        <f>J49*IFERROR(VLOOKUP(A49,[1]Tørstofindhold!A$2:B$24,2,FALSE),0)</f>
        <v>0</v>
      </c>
      <c r="X49" s="188">
        <f t="shared" ca="1" si="12"/>
        <v>1151724.8729790249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640291.52551137318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640291.52551137318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171033.55988230981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138453.77532930995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270595.78918068163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51598.780380153592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218997.00880052804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-1.5144408156629652E-2</v>
      </c>
      <c r="O53" s="190">
        <f t="shared" ca="1" si="1"/>
        <v>0</v>
      </c>
      <c r="P53" s="200">
        <f t="shared" ca="1" si="10"/>
        <v>195082.24112879002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7">
        <f ca="1">IFERROR(VLOOKUP(A53,[1]Biogasudbytte!$A$2:$B$18,2,FALSE)*[1]Energiindhold!$C$10,0)*J53*IFERROR(VLOOKUP(A53,Biogasanlæg!$F$3:$G$8,2,FALSE),1)</f>
        <v>0.6646276381240861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54623.027516061207</v>
      </c>
      <c r="W53" s="187">
        <f ca="1">J53*IFERROR(VLOOKUP(A53,[1]Tørstofindhold!A$2:B$24,2,FALSE),0)</f>
        <v>54623.027516061207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436117381.85566187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436117381.85566187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436117381.85566187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16654632.680777963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14170678.526299225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2483954.1544787381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0</v>
      </c>
      <c r="O56" s="190">
        <f t="shared" si="1"/>
        <v>0</v>
      </c>
      <c r="P56" s="200">
        <f t="shared" si="10"/>
        <v>0</v>
      </c>
      <c r="Q56" s="187">
        <f>IFERROR(VLOOKUP(A56,[1]Energiindhold!$A$2:$C$11,3,FALSE),IFERROR(VLOOKUP(A56,[1]Biogasudbytte!$A$2:$B$18,2,FALSE)*[1]Energiindhold!$C$10,0))*O56</f>
        <v>0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7">
        <f>IFERROR(VLOOKUP(A56,[1]Biogasudbytte!$A$2:$B$18,2,FALSE)*[1]Energiindhold!$C$10,0)*J56*IFERROR(VLOOKUP(A56,Biogasanlæg!$F$3:$G$8,2,FALSE),1)</f>
        <v>0</v>
      </c>
      <c r="T56" s="188">
        <f t="shared" si="11"/>
        <v>0</v>
      </c>
      <c r="U56" s="186">
        <f>O56*IFERROR(VLOOKUP(A56,[1]Tørstofindhold!A$2:B$24,2,FALSE),0)</f>
        <v>0</v>
      </c>
      <c r="V56" s="187">
        <f>IF(D56=År1,P56,SUM(O56,P56))*IFERROR(VLOOKUP(A56,[1]Tørstofindhold!A$2:B$24,2,FALSE),0)</f>
        <v>0</v>
      </c>
      <c r="W56" s="187">
        <f>J56*IFERROR(VLOOKUP(A56,[1]Tørstofindhold!A$2:B$24,2,FALSE),0)</f>
        <v>0</v>
      </c>
      <c r="X56" s="188">
        <f t="shared" si="12"/>
        <v>0</v>
      </c>
      <c r="Y56" s="168">
        <f t="shared" si="2"/>
        <v>0</v>
      </c>
      <c r="Z56" s="103">
        <f t="shared" si="3"/>
        <v>0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2122340.654767077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1061170.3273835385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401728.76679519669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659441.56058834167</v>
      </c>
      <c r="O57" s="190">
        <f t="shared" si="1"/>
        <v>659441.56058834167</v>
      </c>
      <c r="P57" s="200">
        <f t="shared" si="10"/>
        <v>1061170.3273835385</v>
      </c>
      <c r="Q57" s="187">
        <f>IFERROR(VLOOKUP(A57,[1]Energiindhold!$A$2:$C$11,3,FALSE),IFERROR(VLOOKUP(A57,[1]Biogasudbytte!$A$2:$B$18,2,FALSE)*[1]Energiindhold!$C$10,0))*O57</f>
        <v>1.420437121507288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3.7061980066914297</v>
      </c>
      <c r="S57" s="187">
        <f>IFERROR(VLOOKUP(A57,[1]Biogasudbytte!$A$2:$B$18,2,FALSE)*[1]Energiindhold!$C$10,0)*J57*IFERROR(VLOOKUP(A57,Biogasanlæg!$F$3:$G$8,2,FALSE),1)</f>
        <v>2.2857608851841418</v>
      </c>
      <c r="T57" s="188">
        <f t="shared" si="11"/>
        <v>1.420437121507288</v>
      </c>
      <c r="U57" s="186">
        <f>O57*IFERROR(VLOOKUP(A57,[1]Tørstofindhold!A$2:B$24,2,FALSE),0)</f>
        <v>197832.4681765025</v>
      </c>
      <c r="V57" s="187">
        <f>IF(D57=År1,P57,SUM(O57,P57))*IFERROR(VLOOKUP(A57,[1]Tørstofindhold!A$2:B$24,2,FALSE),0)</f>
        <v>516183.56639156403</v>
      </c>
      <c r="W57" s="187">
        <f>J57*IFERROR(VLOOKUP(A57,[1]Tørstofindhold!A$2:B$24,2,FALSE),0)</f>
        <v>318351.09821506153</v>
      </c>
      <c r="X57" s="188">
        <f t="shared" si="12"/>
        <v>197832.4681765025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0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0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6674.1809084363849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3337.0904542181925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3337.0904542181925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3337.0904542181925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1.5694002697142738E-3</v>
      </c>
      <c r="S59" s="187">
        <f>IFERROR(VLOOKUP(A59,[1]Biogasudbytte!$A$2:$B$18,2,FALSE)*[1]Energiindhold!$C$10,0)*J59*IFERROR(VLOOKUP(A59,Biogasanlæg!$F$3:$G$8,2,FALSE),1)</f>
        <v>1.5694002697142738E-3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210.23669861574612</v>
      </c>
      <c r="W59" s="187">
        <f>J59*IFERROR(VLOOKUP(A59,[1]Tørstofindhold!A$2:B$24,2,FALSE),0)</f>
        <v>210.23669861574612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145303.11165081069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110008.34505172751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923566.29660628818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923566.29660628818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27159.598992572228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-230763.6953853434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16375262.677757401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9790151.9274066389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75311.342010026739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199">
        <f t="shared" si="9"/>
        <v>6509799.4083407354</v>
      </c>
      <c r="O64" s="190">
        <f t="shared" si="1"/>
        <v>6509799.4083407354</v>
      </c>
      <c r="P64" s="200">
        <f t="shared" si="10"/>
        <v>75311.342010026739</v>
      </c>
      <c r="Q64" s="187">
        <f>IFERROR(VLOOKUP(A64,[1]Energiindhold!$A$2:$C$11,3,FALSE),IFERROR(VLOOKUP(A64,[1]Biogasudbytte!$A$2:$B$18,2,FALSE)*[1]Energiindhold!$C$10,0))*O64</f>
        <v>11.977217186420912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12.11578064180161</v>
      </c>
      <c r="S64" s="187">
        <f>IFERROR(VLOOKUP(A64,[1]Biogasudbytte!$A$2:$B$18,2,FALSE)*[1]Energiindhold!$C$10,0)*J64*IFERROR(VLOOKUP(A64,Biogasanlæg!$F$3:$G$8,2,FALSE),1)</f>
        <v>0.13856345538069795</v>
      </c>
      <c r="T64" s="188">
        <f t="shared" si="11"/>
        <v>11.977217186420912</v>
      </c>
      <c r="U64" s="186">
        <f>O64*IFERROR(VLOOKUP(A64,[1]Tørstofindhold!A$2:B$24,2,FALSE),0)</f>
        <v>1822743.8343354061</v>
      </c>
      <c r="V64" s="187">
        <f>IF(D64=År1,P64,SUM(O64,P64))*IFERROR(VLOOKUP(A64,[1]Tørstofindhold!A$2:B$24,2,FALSE),0)</f>
        <v>1843831.0100982136</v>
      </c>
      <c r="W64" s="187">
        <f>J64*IFERROR(VLOOKUP(A64,[1]Tørstofindhold!A$2:B$24,2,FALSE),0)</f>
        <v>21087.175762807488</v>
      </c>
      <c r="X64" s="188">
        <f t="shared" si="12"/>
        <v>1822743.8343354061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192848.72920371042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-77291.984381580172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2643891.6563181542</v>
      </c>
      <c r="G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618468.71483434096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581579.9632190367</v>
      </c>
      <c r="I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53742.432547067721</v>
      </c>
      <c r="K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0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1390100.5457177102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1443842.9782647779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14.677664177010669</v>
      </c>
      <c r="S67" s="187">
        <f>IFERROR(VLOOKUP(A67,[1]Biogasudbytte!$A$2:$B$18,2,FALSE)*[1]Energiindhold!$C$10,0)*J67*IFERROR(VLOOKUP(A67,Biogasanlæg!$F$3:$G$8,2,FALSE),1)</f>
        <v>0.30985414454742083</v>
      </c>
      <c r="T67" s="188">
        <f t="shared" si="11"/>
        <v>14.367810032463249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1227266.5315250612</v>
      </c>
      <c r="W67" s="187">
        <f>J67*IFERROR(VLOOKUP(A67,[1]Tørstofindhold!A$2:B$24,2,FALSE),0)</f>
        <v>45681.067665007562</v>
      </c>
      <c r="X67" s="188">
        <f t="shared" si="12"/>
        <v>1181585.4638600536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3862742.0312364982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-3862742.0312364982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456500.14494289405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508461.98144503916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-51961.836502145103</v>
      </c>
      <c r="O70" s="190">
        <f t="shared" si="20"/>
        <v>0</v>
      </c>
      <c r="P70" s="200">
        <f t="shared" si="10"/>
        <v>508461.98144503916</v>
      </c>
      <c r="Q70" s="187">
        <f>IFERROR(VLOOKUP(A70,[1]Energiindhold!$A$2:$C$11,3,FALSE),IFERROR(VLOOKUP(A70,[1]Biogasudbytte!$A$2:$B$18,2,FALSE)*[1]Energiindhold!$C$10,0))*O70</f>
        <v>0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1.8727470858101014</v>
      </c>
      <c r="S70" s="187">
        <f>IFERROR(VLOOKUP(A70,[1]Biogasudbytte!$A$2:$B$18,2,FALSE)*[1]Energiindhold!$C$10,0)*J70*IFERROR(VLOOKUP(A70,Biogasanlæg!$F$3:$G$8,2,FALSE),1)</f>
        <v>1.8727470858101014</v>
      </c>
      <c r="T70" s="188">
        <f t="shared" si="11"/>
        <v>0</v>
      </c>
      <c r="U70" s="186">
        <f>O70*IFERROR(VLOOKUP(A70,[1]Tørstofindhold!A$2:B$24,2,FALSE),0)</f>
        <v>0</v>
      </c>
      <c r="V70" s="187">
        <f>IF(D70=År1,P70,SUM(O70,P70))*IFERROR(VLOOKUP(A70,[1]Tørstofindhold!A$2:B$24,2,FALSE),0)</f>
        <v>213554.03220691642</v>
      </c>
      <c r="W70" s="187">
        <f>J70*IFERROR(VLOOKUP(A70,[1]Tørstofindhold!A$2:B$24,2,FALSE),0)</f>
        <v>213554.03220691642</v>
      </c>
      <c r="X70" s="188">
        <f t="shared" si="12"/>
        <v>0</v>
      </c>
      <c r="Y70" s="168">
        <f t="shared" si="21"/>
        <v>1</v>
      </c>
      <c r="Z70" s="103">
        <f t="shared" si="22"/>
        <v>0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802238.89808826952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802238.89808826952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2244003.4840042591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2120471.800907468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7185056.2456319006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4703372.1615964994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2838.8656563257464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2182912.1753559932</v>
      </c>
      <c r="O73" s="190">
        <f t="shared" si="20"/>
        <v>2182912.1753559932</v>
      </c>
      <c r="P73" s="200">
        <f t="shared" si="10"/>
        <v>2838.8656563257464</v>
      </c>
      <c r="Q73" s="187">
        <f>IFERROR(VLOOKUP(A73,[1]Energiindhold!$A$2:$C$11,3,FALSE),IFERROR(VLOOKUP(A73,[1]Biogasudbytte!$A$2:$B$18,2,FALSE)*[1]Energiindhold!$C$10,0))*O73</f>
        <v>7.4761685928897279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7.4858913103214517</v>
      </c>
      <c r="S73" s="187">
        <f>IFERROR(VLOOKUP(A73,[1]Biogasudbytte!$A$2:$B$18,2,FALSE)*[1]Energiindhold!$C$10,0)*J73*IFERROR(VLOOKUP(A73,Biogasanlæg!$F$3:$G$8,2,FALSE),1)</f>
        <v>9.7227174317237978E-3</v>
      </c>
      <c r="T73" s="188">
        <f t="shared" si="11"/>
        <v>7.4761685928897279</v>
      </c>
      <c r="U73" s="186">
        <f>O73*IFERROR(VLOOKUP(A73,[1]Tørstofindhold!A$2:B$24,2,FALSE),0)</f>
        <v>676702.7743603579</v>
      </c>
      <c r="V73" s="187">
        <f>IF(D73=År1,P73,SUM(O73,P73))*IFERROR(VLOOKUP(A73,[1]Tørstofindhold!A$2:B$24,2,FALSE),0)</f>
        <v>677582.82271381887</v>
      </c>
      <c r="W73" s="187">
        <f>J73*IFERROR(VLOOKUP(A73,[1]Tørstofindhold!A$2:B$24,2,FALSE),0)</f>
        <v>880.04835346098139</v>
      </c>
      <c r="X73" s="188">
        <f t="shared" si="12"/>
        <v>676702.7743603579</v>
      </c>
      <c r="Y73" s="168">
        <f t="shared" si="21"/>
        <v>0</v>
      </c>
      <c r="Z73" s="103">
        <f t="shared" si="22"/>
        <v>1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812928.99314271065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-812928.99314271065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10386797.369068628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7893966.0004921574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2492831.3685764708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7893966.0004921574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3.9958466497891258</v>
      </c>
      <c r="S75" s="187">
        <f>IFERROR(VLOOKUP(A75,[1]Biogasudbytte!$A$2:$B$18,2,FALSE)*[1]Energiindhold!$C$10,0)*J75*IFERROR(VLOOKUP(A75,Biogasanlæg!$F$3:$G$8,2,FALSE),1)</f>
        <v>3.9958466497891258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599941.41603740398</v>
      </c>
      <c r="W75" s="187">
        <f>J75*IFERROR(VLOOKUP(A75,[1]Tørstofindhold!A$2:B$24,2,FALSE),0)</f>
        <v>599941.41603740398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1296795.0922933305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1212571.3389336092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84223.753359721275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7997415.641357664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4525643.0291759707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314782.00911940058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3156990.6030622926</v>
      </c>
      <c r="O77" s="190">
        <f t="shared" si="20"/>
        <v>2973555.9309564214</v>
      </c>
      <c r="P77" s="200">
        <f t="shared" si="10"/>
        <v>314782.00911940058</v>
      </c>
      <c r="Q77" s="187">
        <f>IFERROR(VLOOKUP(A77,[1]Energiindhold!$A$2:$C$11,3,FALSE),IFERROR(VLOOKUP(A77,[1]Biogasudbytte!$A$2:$B$18,2,FALSE)*[1]Energiindhold!$C$10,0))*O77</f>
        <v>10.675065792133553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11.805133204872202</v>
      </c>
      <c r="S77" s="187">
        <f>IFERROR(VLOOKUP(A77,[1]Biogasudbytte!$A$2:$B$18,2,FALSE)*[1]Energiindhold!$C$10,0)*J77*IFERROR(VLOOKUP(A77,Biogasanlæg!$F$3:$G$8,2,FALSE),1)</f>
        <v>1.1300674127386483</v>
      </c>
      <c r="T77" s="188">
        <f t="shared" si="11"/>
        <v>10.675065792133553</v>
      </c>
      <c r="U77" s="186">
        <f>O77*IFERROR(VLOOKUP(A77,[1]Tørstofindhold!A$2:B$24,2,FALSE),0)</f>
        <v>892066.77928692638</v>
      </c>
      <c r="V77" s="187">
        <f>IF(D77=År1,P77,SUM(O77,P77))*IFERROR(VLOOKUP(A77,[1]Tørstofindhold!A$2:B$24,2,FALSE),0)</f>
        <v>986501.38202274661</v>
      </c>
      <c r="W77" s="187">
        <f>J77*IFERROR(VLOOKUP(A77,[1]Tørstofindhold!A$2:B$24,2,FALSE),0)</f>
        <v>94434.602735820168</v>
      </c>
      <c r="X77" s="188">
        <f t="shared" si="12"/>
        <v>892066.77928692638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2502141.5052936058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2029734.6292751078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84934.510833187902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24906.257794285637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1</v>
      </c>
      <c r="Z80" s="103">
        <f t="shared" si="22"/>
        <v>0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1685776.5357930374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1685776.5357930374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176446.6832046808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176446.6832046808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176446.6832046808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3.2466189709661259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3.2466189709661259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73225.373529942532</v>
      </c>
      <c r="W82" s="187">
        <f>J82*IFERROR(VLOOKUP(A82,[1]Tørstofindhold!A$2:B$24,2,FALSE),0)</f>
        <v>0</v>
      </c>
      <c r="X82" s="188">
        <f t="shared" ref="X82:X149" si="26">V82-W82</f>
        <v>73225.373529942532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0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0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0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0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3896345.2282942934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3896345.2282942934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509029.05966338929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509029.05966338929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254514.52983169464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171279.2848730098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83235.244958684838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162889.29909228458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162889.29909228458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162889.29909228458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5.7011254682299599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5.7011254682299599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396405.63727863086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672934.09412450308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4123.4286638275544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-280651.88550969982</v>
      </c>
      <c r="O89" s="190">
        <f t="shared" si="20"/>
        <v>0</v>
      </c>
      <c r="P89" s="200">
        <f t="shared" si="24"/>
        <v>4123.4286638275544</v>
      </c>
      <c r="Q89" s="187">
        <f>IFERROR(VLOOKUP(A89,[1]Energiindhold!$A$2:$C$11,3,FALSE),IFERROR(VLOOKUP(A89,[1]Biogasudbytte!$A$2:$B$18,2,FALSE)*[1]Energiindhold!$C$10,0))*O89</f>
        <v>0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1.1191150330774535E-2</v>
      </c>
      <c r="S89" s="187">
        <f>IFERROR(VLOOKUP(A89,[1]Biogasudbytte!$A$2:$B$18,2,FALSE)*[1]Energiindhold!$C$10,0)*J89*IFERROR(VLOOKUP(A89,Biogasanlæg!$F$3:$G$8,2,FALSE),1)</f>
        <v>1.1191150330774535E-2</v>
      </c>
      <c r="T89" s="188">
        <f t="shared" si="25"/>
        <v>0</v>
      </c>
      <c r="U89" s="186">
        <f>O89*IFERROR(VLOOKUP(A89,[1]Tørstofindhold!A$2:B$24,2,FALSE),0)</f>
        <v>0</v>
      </c>
      <c r="V89" s="187">
        <f>IF(D89=År1,P89,SUM(O89,P89))*IFERROR(VLOOKUP(A89,[1]Tørstofindhold!A$2:B$24,2,FALSE),0)</f>
        <v>824.68573276551092</v>
      </c>
      <c r="W89" s="187">
        <f>J89*IFERROR(VLOOKUP(A89,[1]Tørstofindhold!A$2:B$24,2,FALSE),0)</f>
        <v>824.68573276551092</v>
      </c>
      <c r="X89" s="188">
        <f t="shared" si="26"/>
        <v>0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152898.46172507474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152898.46172507474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103754.66217102103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31532.588010093863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72222.074160927164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3949558.8398278607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1497865.6247316466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2451693.2150962139</v>
      </c>
      <c r="O92" s="190">
        <f t="shared" si="20"/>
        <v>2451693.2150962139</v>
      </c>
      <c r="P92" s="200">
        <f t="shared" si="24"/>
        <v>1497865.6247316466</v>
      </c>
      <c r="Q92" s="187">
        <f>IFERROR(VLOOKUP(A92,[1]Energiindhold!$A$2:$C$11,3,FALSE),IFERROR(VLOOKUP(A92,[1]Biogasudbytte!$A$2:$B$18,2,FALSE)*[1]Energiindhold!$C$10,0))*O92</f>
        <v>1.2234194312651618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1.9708693566625008</v>
      </c>
      <c r="S92" s="187">
        <f>IFERROR(VLOOKUP(A92,[1]Biogasudbytte!$A$2:$B$18,2,FALSE)*[1]Energiindhold!$C$10,0)*J92*IFERROR(VLOOKUP(A92,Biogasanlæg!$F$3:$G$8,2,FALSE),1)</f>
        <v>0.74744992539733912</v>
      </c>
      <c r="T92" s="188">
        <f t="shared" si="25"/>
        <v>1.2234194312651616</v>
      </c>
      <c r="U92" s="186">
        <f>O92*IFERROR(VLOOKUP(A92,[1]Tørstofindhold!A$2:B$24,2,FALSE),0)</f>
        <v>147101.59290577282</v>
      </c>
      <c r="V92" s="187">
        <f>IF(D92=År1,P92,SUM(O92,P92))*IFERROR(VLOOKUP(A92,[1]Tørstofindhold!A$2:B$24,2,FALSE),0)</f>
        <v>236973.53038967162</v>
      </c>
      <c r="W92" s="187">
        <f>J92*IFERROR(VLOOKUP(A92,[1]Tørstofindhold!A$2:B$24,2,FALSE),0)</f>
        <v>89871.937483898801</v>
      </c>
      <c r="X92" s="188">
        <f t="shared" si="26"/>
        <v>147101.59290577282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12059866.540704856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6391729.2665735735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5668137.2741312822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6391729.2665735735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2.7535569680398959</v>
      </c>
      <c r="S93" s="187">
        <f>IFERROR(VLOOKUP(A93,[1]Biogasudbytte!$A$2:$B$18,2,FALSE)*[1]Energiindhold!$C$10,0)*J93*IFERROR(VLOOKUP(A93,Biogasanlæg!$F$3:$G$8,2,FALSE),1)</f>
        <v>2.7535569680398959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319586.46332867868</v>
      </c>
      <c r="W93" s="187">
        <f>J93*IFERROR(VLOOKUP(A93,[1]Tørstofindhold!A$2:B$24,2,FALSE),0)</f>
        <v>319586.46332867868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1102410.4206254377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980534.87657675741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2203754.2205130709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2203754.2205130709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2203754.2205130709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31.9402636353806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31.9402636353806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1089940.1082287563</v>
      </c>
      <c r="W97" s="187">
        <f>J97*IFERROR(VLOOKUP(A97,[1]Tørstofindhold!A$2:B$24,2,FALSE),0)</f>
        <v>0</v>
      </c>
      <c r="X97" s="188">
        <f t="shared" ca="1" si="26"/>
        <v>1089940.1082287563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605942.81758342392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605942.81758342392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166578.5911943354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132728.62230789059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280111.33244912018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51598.780380153592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228512.55206896659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-9.8743131762603298E-2</v>
      </c>
      <c r="O101" s="190">
        <f t="shared" ca="1" si="20"/>
        <v>0</v>
      </c>
      <c r="P101" s="200">
        <f t="shared" ca="1" si="24"/>
        <v>197484.23354298095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7">
        <f ca="1">IFERROR(VLOOKUP(A101,[1]Biogasudbytte!$A$2:$B$18,2,FALSE)*[1]Energiindhold!$C$10,0)*J101*IFERROR(VLOOKUP(A101,Biogasanlæg!$F$3:$G$8,2,FALSE),1)</f>
        <v>0.67281101009991739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55295.585392034671</v>
      </c>
      <c r="W101" s="187">
        <f ca="1">J101*IFERROR(VLOOKUP(A101,[1]Tørstofindhold!A$2:B$24,2,FALSE),0)</f>
        <v>55295.585392034671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434334426.98586202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434334426.98586202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434334426.98586202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16362030.054606972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13769740.953721102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2592289.1008858699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0</v>
      </c>
      <c r="O104" s="190">
        <f t="shared" si="20"/>
        <v>0</v>
      </c>
      <c r="P104" s="200">
        <f t="shared" si="24"/>
        <v>0</v>
      </c>
      <c r="Q104" s="187">
        <f>IFERROR(VLOOKUP(A104,[1]Energiindhold!$A$2:$C$11,3,FALSE),IFERROR(VLOOKUP(A104,[1]Biogasudbytte!$A$2:$B$18,2,FALSE)*[1]Energiindhold!$C$10,0))*O104</f>
        <v>0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7">
        <f>IFERROR(VLOOKUP(A104,[1]Biogasudbytte!$A$2:$B$18,2,FALSE)*[1]Energiindhold!$C$10,0)*J104*IFERROR(VLOOKUP(A104,Biogasanlæg!$F$3:$G$8,2,FALSE),1)</f>
        <v>0</v>
      </c>
      <c r="T104" s="188">
        <f t="shared" si="25"/>
        <v>0</v>
      </c>
      <c r="U104" s="186">
        <f>O104*IFERROR(VLOOKUP(A104,[1]Tørstofindhold!A$2:B$24,2,FALSE),0)</f>
        <v>0</v>
      </c>
      <c r="V104" s="187">
        <f>IF(D104=År1,P104,SUM(O104,P104))*IFERROR(VLOOKUP(A104,[1]Tørstofindhold!A$2:B$24,2,FALSE),0)</f>
        <v>0</v>
      </c>
      <c r="W104" s="187">
        <f>J104*IFERROR(VLOOKUP(A104,[1]Tørstofindhold!A$2:B$24,2,FALSE),0)</f>
        <v>0</v>
      </c>
      <c r="X104" s="188">
        <f t="shared" si="26"/>
        <v>0</v>
      </c>
      <c r="Y104" s="168">
        <f t="shared" si="21"/>
        <v>0</v>
      </c>
      <c r="Z104" s="103">
        <f t="shared" si="22"/>
        <v>0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2222382.1821508599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1111191.0910754299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420665.19876426988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690525.89231115999</v>
      </c>
      <c r="O105" s="190">
        <f t="shared" si="20"/>
        <v>690525.89231115999</v>
      </c>
      <c r="P105" s="200">
        <f t="shared" si="24"/>
        <v>1111191.0910754299</v>
      </c>
      <c r="Q105" s="187">
        <f>IFERROR(VLOOKUP(A105,[1]Energiindhold!$A$2:$C$11,3,FALSE),IFERROR(VLOOKUP(A105,[1]Biogasudbytte!$A$2:$B$18,2,FALSE)*[1]Energiindhold!$C$10,0))*O105</f>
        <v>1.4873927720382387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3.8808983822147152</v>
      </c>
      <c r="S105" s="187">
        <f>IFERROR(VLOOKUP(A105,[1]Biogasudbytte!$A$2:$B$18,2,FALSE)*[1]Energiindhold!$C$10,0)*J105*IFERROR(VLOOKUP(A105,Biogasanlæg!$F$3:$G$8,2,FALSE),1)</f>
        <v>2.3935056101764762</v>
      </c>
      <c r="T105" s="188">
        <f t="shared" si="25"/>
        <v>1.4873927720382389</v>
      </c>
      <c r="U105" s="186">
        <f>O105*IFERROR(VLOOKUP(A105,[1]Tørstofindhold!A$2:B$24,2,FALSE),0)</f>
        <v>207157.767693348</v>
      </c>
      <c r="V105" s="187">
        <f>IF(D105=År1,P105,SUM(O105,P105))*IFERROR(VLOOKUP(A105,[1]Tørstofindhold!A$2:B$24,2,FALSE),0)</f>
        <v>540515.09501597693</v>
      </c>
      <c r="W105" s="187">
        <f>J105*IFERROR(VLOOKUP(A105,[1]Tørstofindhold!A$2:B$24,2,FALSE),0)</f>
        <v>333357.32732262899</v>
      </c>
      <c r="X105" s="188">
        <f t="shared" si="26"/>
        <v>207157.76769334794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0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0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6892.4253779859373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3446.2126889929687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3446.2126889929687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3446.2126889929687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1.6207193655065032E-3</v>
      </c>
      <c r="S107" s="187">
        <f>IFERROR(VLOOKUP(A107,[1]Biogasudbytte!$A$2:$B$18,2,FALSE)*[1]Energiindhold!$C$10,0)*J107*IFERROR(VLOOKUP(A107,Biogasanlæg!$F$3:$G$8,2,FALSE),1)</f>
        <v>1.6207193655065032E-3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217.11139940655701</v>
      </c>
      <c r="W107" s="187">
        <f>J107*IFERROR(VLOOKUP(A107,[1]Tørstofindhold!A$2:B$24,2,FALSE),0)</f>
        <v>217.11139940655701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138927.00099994309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102256.20137296121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957437.9326590331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957437.9326590331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28117.117854959241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-239861.80249606221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17187397.545226604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9790151.9274066389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75243.769743329321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199">
        <f t="shared" si="23"/>
        <v>7322001.848076636</v>
      </c>
      <c r="O112" s="190">
        <f t="shared" si="20"/>
        <v>7322001.848076636</v>
      </c>
      <c r="P112" s="200">
        <f t="shared" si="24"/>
        <v>75243.769743329321</v>
      </c>
      <c r="Q112" s="187">
        <f>IFERROR(VLOOKUP(A112,[1]Energiindhold!$A$2:$C$11,3,FALSE),IFERROR(VLOOKUP(A112,[1]Biogasudbytte!$A$2:$B$18,2,FALSE)*[1]Energiindhold!$C$10,0))*O112</f>
        <v>13.471568150230002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13.61000728108651</v>
      </c>
      <c r="S112" s="187">
        <f>IFERROR(VLOOKUP(A112,[1]Biogasudbytte!$A$2:$B$18,2,FALSE)*[1]Energiindhold!$C$10,0)*J112*IFERROR(VLOOKUP(A112,Biogasanlæg!$F$3:$G$8,2,FALSE),1)</f>
        <v>0.13843913085650805</v>
      </c>
      <c r="T112" s="188">
        <f t="shared" si="25"/>
        <v>13.471568150230002</v>
      </c>
      <c r="U112" s="186">
        <f>O112*IFERROR(VLOOKUP(A112,[1]Tørstofindhold!A$2:B$24,2,FALSE),0)</f>
        <v>2050160.5174614582</v>
      </c>
      <c r="V112" s="187">
        <f>IF(D112=År1,P112,SUM(O112,P112))*IFERROR(VLOOKUP(A112,[1]Tørstofindhold!A$2:B$24,2,FALSE),0)</f>
        <v>2071228.7729895904</v>
      </c>
      <c r="W112" s="187">
        <f>J112*IFERROR(VLOOKUP(A112,[1]Tørstofindhold!A$2:B$24,2,FALSE),0)</f>
        <v>21068.255528132213</v>
      </c>
      <c r="X112" s="188">
        <f t="shared" si="26"/>
        <v>2050160.5174614582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198166.83757807463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-82505.821105363633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2560492.8051294163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618468.71483434096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579210.80448009283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53519.00366190957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1309294.2821530737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1362813.2858149833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13.841178097643004</v>
      </c>
      <c r="S115" s="187">
        <f>IFERROR(VLOOKUP(A115,[1]Biogasudbytte!$A$2:$B$18,2,FALSE)*[1]Energiindhold!$C$10,0)*J115*IFERROR(VLOOKUP(A115,Biogasanlæg!$F$3:$G$8,2,FALSE),1)</f>
        <v>0.30856595637288614</v>
      </c>
      <c r="T115" s="188">
        <f t="shared" si="25"/>
        <v>13.532612141270118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1158391.2929427358</v>
      </c>
      <c r="W115" s="187">
        <f>J115*IFERROR(VLOOKUP(A115,[1]Tørstofindhold!A$2:B$24,2,FALSE),0)</f>
        <v>45491.153112623135</v>
      </c>
      <c r="X115" s="188">
        <f t="shared" si="26"/>
        <v>1112900.1398301127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3862742.0312364982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-3862742.0312364982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453678.05576738477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505095.54922592157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-51417.493458536803</v>
      </c>
      <c r="O118" s="190">
        <f t="shared" si="20"/>
        <v>0</v>
      </c>
      <c r="P118" s="200">
        <f t="shared" si="24"/>
        <v>505095.54922592157</v>
      </c>
      <c r="Q118" s="187">
        <f>IFERROR(VLOOKUP(A118,[1]Energiindhold!$A$2:$C$11,3,FALSE),IFERROR(VLOOKUP(A118,[1]Biogasudbytte!$A$2:$B$18,2,FALSE)*[1]Energiindhold!$C$10,0))*O118</f>
        <v>0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1.8603479756347201</v>
      </c>
      <c r="S118" s="187">
        <f>IFERROR(VLOOKUP(A118,[1]Biogasudbytte!$A$2:$B$18,2,FALSE)*[1]Energiindhold!$C$10,0)*J118*IFERROR(VLOOKUP(A118,Biogasanlæg!$F$3:$G$8,2,FALSE),1)</f>
        <v>1.8603479756347201</v>
      </c>
      <c r="T118" s="188">
        <f t="shared" si="25"/>
        <v>0</v>
      </c>
      <c r="U118" s="186">
        <f>O118*IFERROR(VLOOKUP(A118,[1]Tørstofindhold!A$2:B$24,2,FALSE),0)</f>
        <v>0</v>
      </c>
      <c r="V118" s="187">
        <f>IF(D118=År1,P118,SUM(O118,P118))*IFERROR(VLOOKUP(A118,[1]Tørstofindhold!A$2:B$24,2,FALSE),0)</f>
        <v>212140.13067488704</v>
      </c>
      <c r="W118" s="187">
        <f>J118*IFERROR(VLOOKUP(A118,[1]Tørstofindhold!A$2:B$24,2,FALSE),0)</f>
        <v>212140.13067488704</v>
      </c>
      <c r="X118" s="188">
        <f t="shared" si="26"/>
        <v>0</v>
      </c>
      <c r="Y118" s="168">
        <f t="shared" si="21"/>
        <v>1</v>
      </c>
      <c r="Z118" s="103">
        <f t="shared" si="22"/>
        <v>0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830522.04311077786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830522.04311077786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2323694.0904921242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2195346.2917976878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7470858.8846565643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4703372.1615964994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2832.9524091506291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2457183.2199323736</v>
      </c>
      <c r="O121" s="190">
        <f t="shared" si="20"/>
        <v>2457183.2199323736</v>
      </c>
      <c r="P121" s="200">
        <f t="shared" si="24"/>
        <v>2832.9524091506291</v>
      </c>
      <c r="Q121" s="187">
        <f>IFERROR(VLOOKUP(A121,[1]Energiindhold!$A$2:$C$11,3,FALSE),IFERROR(VLOOKUP(A121,[1]Biogasudbytte!$A$2:$B$18,2,FALSE)*[1]Energiindhold!$C$10,0))*O121</f>
        <v>8.415508522617591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8.4252109880055954</v>
      </c>
      <c r="S121" s="187">
        <f>IFERROR(VLOOKUP(A121,[1]Biogasudbytte!$A$2:$B$18,2,FALSE)*[1]Energiindhold!$C$10,0)*J121*IFERROR(VLOOKUP(A121,Biogasanlæg!$F$3:$G$8,2,FALSE),1)</f>
        <v>9.7024653880036262E-3</v>
      </c>
      <c r="T121" s="188">
        <f t="shared" si="25"/>
        <v>8.415508522617591</v>
      </c>
      <c r="U121" s="186">
        <f>O121*IFERROR(VLOOKUP(A121,[1]Tørstofindhold!A$2:B$24,2,FALSE),0)</f>
        <v>761726.79817903577</v>
      </c>
      <c r="V121" s="187">
        <f>IF(D121=År1,P121,SUM(O121,P121))*IFERROR(VLOOKUP(A121,[1]Tørstofindhold!A$2:B$24,2,FALSE),0)</f>
        <v>762605.01342587243</v>
      </c>
      <c r="W121" s="187">
        <f>J121*IFERROR(VLOOKUP(A121,[1]Tørstofindhold!A$2:B$24,2,FALSE),0)</f>
        <v>878.21524683669497</v>
      </c>
      <c r="X121" s="188">
        <f t="shared" si="26"/>
        <v>761726.79817903577</v>
      </c>
      <c r="Y121" s="168">
        <f t="shared" si="21"/>
        <v>0</v>
      </c>
      <c r="Z121" s="103">
        <f t="shared" si="22"/>
        <v>1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785628.01869998709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-785628.01869998709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10188325.202039858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7743127.1535502924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2445198.048489566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7743127.1535502924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3.9194935338556229</v>
      </c>
      <c r="S123" s="187">
        <f>IFERROR(VLOOKUP(A123,[1]Biogasudbytte!$A$2:$B$18,2,FALSE)*[1]Energiindhold!$C$10,0)*J123*IFERROR(VLOOKUP(A123,Biogasanlæg!$F$3:$G$8,2,FALSE),1)</f>
        <v>3.9194935338556229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588477.66366982216</v>
      </c>
      <c r="W123" s="187">
        <f>J123*IFERROR(VLOOKUP(A123,[1]Tørstofindhold!A$2:B$24,2,FALSE),0)</f>
        <v>588477.66366982216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1272706.7760624508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1212571.3389336092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60135.437128841644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8373936.9345243433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4525643.0291759707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314661.48085110582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3533632.4244972672</v>
      </c>
      <c r="O125" s="190">
        <f t="shared" si="20"/>
        <v>3371673.9663868723</v>
      </c>
      <c r="P125" s="200">
        <f t="shared" si="24"/>
        <v>314661.48085110582</v>
      </c>
      <c r="Q125" s="187">
        <f>IFERROR(VLOOKUP(A125,[1]Energiindhold!$A$2:$C$11,3,FALSE),IFERROR(VLOOKUP(A125,[1]Biogasudbytte!$A$2:$B$18,2,FALSE)*[1]Energiindhold!$C$10,0))*O125</f>
        <v>12.104309539328874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13.233944255584344</v>
      </c>
      <c r="S125" s="187">
        <f>IFERROR(VLOOKUP(A125,[1]Biogasudbytte!$A$2:$B$18,2,FALSE)*[1]Energiindhold!$C$10,0)*J125*IFERROR(VLOOKUP(A125,Biogasanlæg!$F$3:$G$8,2,FALSE),1)</f>
        <v>1.1296347162554701</v>
      </c>
      <c r="T125" s="188">
        <f t="shared" si="25"/>
        <v>12.104309539328874</v>
      </c>
      <c r="U125" s="186">
        <f>O125*IFERROR(VLOOKUP(A125,[1]Tørstofindhold!A$2:B$24,2,FALSE),0)</f>
        <v>1011502.1899160617</v>
      </c>
      <c r="V125" s="187">
        <f>IF(D125=År1,P125,SUM(O125,P125))*IFERROR(VLOOKUP(A125,[1]Tørstofindhold!A$2:B$24,2,FALSE),0)</f>
        <v>1105900.6341713935</v>
      </c>
      <c r="W125" s="187">
        <f>J125*IFERROR(VLOOKUP(A125,[1]Tørstofindhold!A$2:B$24,2,FALSE),0)</f>
        <v>94398.444255331749</v>
      </c>
      <c r="X125" s="188">
        <f t="shared" si="26"/>
        <v>1011502.1899160617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2455663.5565474145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1964839.0076939645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82230.492590145455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19861.924916870877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1745209.0344552125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1745209.0344552125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183249.6836740704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183249.6836740704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183249.6836740704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3.3717941796028947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3.3717941796028947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76048.618724739223</v>
      </c>
      <c r="W130" s="187">
        <f>J130*IFERROR(VLOOKUP(A130,[1]Tørstofindhold!A$2:B$24,2,FALSE),0)</f>
        <v>0</v>
      </c>
      <c r="X130" s="188">
        <f t="shared" si="26"/>
        <v>76048.618724739223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0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0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0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0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3823969.5719075543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3823969.5719075543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526296.50250669091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526296.50250669091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263148.25125334546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171279.2848730098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91868.966380335653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168414.8808021411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168414.8808021411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168414.8808021411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5.8945208280749375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5.8945208280749375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410082.28428580571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672934.09412450308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4092.8191064506923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-266944.62894514803</v>
      </c>
      <c r="O137" s="190">
        <f t="shared" si="39"/>
        <v>0</v>
      </c>
      <c r="P137" s="200">
        <f t="shared" si="24"/>
        <v>4092.8191064506923</v>
      </c>
      <c r="Q137" s="187">
        <f>IFERROR(VLOOKUP(A137,[1]Energiindhold!$A$2:$C$11,3,FALSE),IFERROR(VLOOKUP(A137,[1]Biogasudbytte!$A$2:$B$18,2,FALSE)*[1]Energiindhold!$C$10,0))*O137</f>
        <v>0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1.1108074767671438E-2</v>
      </c>
      <c r="S137" s="187">
        <f>IFERROR(VLOOKUP(A137,[1]Biogasudbytte!$A$2:$B$18,2,FALSE)*[1]Energiindhold!$C$10,0)*J137*IFERROR(VLOOKUP(A137,Biogasanlæg!$F$3:$G$8,2,FALSE),1)</f>
        <v>1.1108074767671438E-2</v>
      </c>
      <c r="T137" s="188">
        <f t="shared" si="25"/>
        <v>0</v>
      </c>
      <c r="U137" s="186">
        <f>O137*IFERROR(VLOOKUP(A137,[1]Tørstofindhold!A$2:B$24,2,FALSE),0)</f>
        <v>0</v>
      </c>
      <c r="V137" s="187">
        <f>IF(D137=År1,P137,SUM(O137,P137))*IFERROR(VLOOKUP(A137,[1]Tørstofindhold!A$2:B$24,2,FALSE),0)</f>
        <v>818.56382129013855</v>
      </c>
      <c r="W137" s="187">
        <f>J137*IFERROR(VLOOKUP(A137,[1]Tørstofindhold!A$2:B$24,2,FALSE),0)</f>
        <v>818.56382129013855</v>
      </c>
      <c r="X137" s="188">
        <f t="shared" si="26"/>
        <v>0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148453.72937457461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148453.72937457461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100880.19861397019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31532.588010093863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69347.610603876325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4097932.7879593684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1554136.2730559006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2543796.5149034681</v>
      </c>
      <c r="O140" s="190">
        <f t="shared" si="39"/>
        <v>2543796.5149034681</v>
      </c>
      <c r="P140" s="200">
        <f t="shared" si="24"/>
        <v>1554136.2730559006</v>
      </c>
      <c r="Q140" s="187">
        <f>IFERROR(VLOOKUP(A140,[1]Energiindhold!$A$2:$C$11,3,FALSE),IFERROR(VLOOKUP(A140,[1]Biogasudbytte!$A$2:$B$18,2,FALSE)*[1]Energiindhold!$C$10,0))*O140</f>
        <v>1.2693798989019798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2.0449094405196049</v>
      </c>
      <c r="S140" s="187">
        <f>IFERROR(VLOOKUP(A140,[1]Biogasudbytte!$A$2:$B$18,2,FALSE)*[1]Energiindhold!$C$10,0)*J140*IFERROR(VLOOKUP(A140,Biogasanlæg!$F$3:$G$8,2,FALSE),1)</f>
        <v>0.77552954161762511</v>
      </c>
      <c r="T140" s="188">
        <f t="shared" si="25"/>
        <v>1.2693798989019798</v>
      </c>
      <c r="U140" s="186">
        <f>O140*IFERROR(VLOOKUP(A140,[1]Tørstofindhold!A$2:B$24,2,FALSE),0)</f>
        <v>152627.79089420807</v>
      </c>
      <c r="V140" s="187">
        <f>IF(D140=År1,P140,SUM(O140,P140))*IFERROR(VLOOKUP(A140,[1]Tørstofindhold!A$2:B$24,2,FALSE),0)</f>
        <v>245875.96727756213</v>
      </c>
      <c r="W140" s="187">
        <f>J140*IFERROR(VLOOKUP(A140,[1]Tørstofindhold!A$2:B$24,2,FALSE),0)</f>
        <v>93248.176383354032</v>
      </c>
      <c r="X140" s="188">
        <f t="shared" si="26"/>
        <v>152627.7908942081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11545833.414063649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6119291.7094537346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5426541.7046099147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6119291.7094537346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2.6361908684326694</v>
      </c>
      <c r="S141" s="187">
        <f>IFERROR(VLOOKUP(A141,[1]Biogasudbytte!$A$2:$B$18,2,FALSE)*[1]Energiindhold!$C$10,0)*J141*IFERROR(VLOOKUP(A141,Biogasanlæg!$F$3:$G$8,2,FALSE),1)</f>
        <v>2.6361908684326694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305964.58547268674</v>
      </c>
      <c r="W141" s="187">
        <f>J141*IFERROR(VLOOKUP(A141,[1]Tørstofindhold!A$2:B$24,2,FALSE),0)</f>
        <v>305964.58547268674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1072120.6999068451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945493.60796413617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2001119.0505128279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2001119.0505128279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2001119.0505128279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29.003356837261759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29.003356837261759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989720.1303994694</v>
      </c>
      <c r="W145" s="187">
        <f>J145*IFERROR(VLOOKUP(A145,[1]Tørstofindhold!A$2:B$24,2,FALSE),0)</f>
        <v>0</v>
      </c>
      <c r="X145" s="188">
        <f t="shared" ca="1" si="26"/>
        <v>989720.1303994694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551632.61779012682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551632.61779012682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26972.495538657848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19055.87878491775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110817068.59908372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110817068.59908372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110817068.59908372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2463073.3914116896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1801862.1200388186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661211.27137287101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620445.82725004398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620445.82725004398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15780.226177538038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-197024.06677216437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2148848.2010935447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10277.831749012612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636502.29333281773</v>
      </c>
      <c r="O160" s="190">
        <f t="shared" si="39"/>
        <v>636502.29333281773</v>
      </c>
      <c r="P160" s="200">
        <f t="shared" si="49"/>
        <v>10277.831749012612</v>
      </c>
      <c r="Q160" s="187">
        <f>IFERROR(VLOOKUP(A160,[1]Energiindhold!$A$2:$C$11,3,FALSE),IFERROR(VLOOKUP(A160,[1]Biogasudbytte!$A$2:$B$18,2,FALSE)*[1]Energiindhold!$C$10,0))*O160</f>
        <v>1.1710846569457181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1.8909925689214579E-2</v>
      </c>
      <c r="S160" s="187">
        <f>IFERROR(VLOOKUP(A160,[1]Biogasudbytte!$A$2:$B$18,2,FALSE)*[1]Energiindhold!$C$10,0)*J160*IFERROR(VLOOKUP(A160,Biogasanlæg!$F$3:$G$8,2,FALSE),1)</f>
        <v>1.8909925689214579E-2</v>
      </c>
      <c r="T160" s="188">
        <f t="shared" si="50"/>
        <v>0</v>
      </c>
      <c r="U160" s="186">
        <f>O160*IFERROR(VLOOKUP(A160,[1]Tørstofindhold!A$2:B$24,2,FALSE),0)</f>
        <v>178220.64213318899</v>
      </c>
      <c r="V160" s="187">
        <f>IF(D160=År1,P160,SUM(O160,P160))*IFERROR(VLOOKUP(A160,[1]Tørstofindhold!A$2:B$24,2,FALSE),0)</f>
        <v>2877.7928897235315</v>
      </c>
      <c r="W160" s="187">
        <f>J160*IFERROR(VLOOKUP(A160,[1]Tørstofindhold!A$2:B$24,2,FALSE),0)</f>
        <v>2877.7928897235315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95299.46904386401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-127585.02725608747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954412.72069157928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22739.095393183845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732655.58820898295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755394.68360216683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7.7036894370658402</v>
      </c>
      <c r="S163" s="187">
        <f>IFERROR(VLOOKUP(A163,[1]Biogasudbytte!$A$2:$B$18,2,FALSE)*[1]Energiindhold!$C$10,0)*J163*IFERROR(VLOOKUP(A163,Biogasanlæg!$F$3:$G$8,2,FALSE),1)</f>
        <v>0.1311031640532172</v>
      </c>
      <c r="T163" s="188">
        <f t="shared" si="50"/>
        <v>7.5725862730126234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642085.48106184183</v>
      </c>
      <c r="W163" s="187">
        <f>J163*IFERROR(VLOOKUP(A163,[1]Tørstofindhold!A$2:B$24,2,FALSE),0)</f>
        <v>19328.231084206269</v>
      </c>
      <c r="X163" s="188">
        <f t="shared" si="51"/>
        <v>622757.24997763557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145627.35347864506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145627.35347864506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116539.79424410909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14617.738147146345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2268650.5850062412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942.6064741945944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1301921.4452316216</v>
      </c>
      <c r="O169" s="190">
        <f t="shared" si="39"/>
        <v>1301921.4452316216</v>
      </c>
      <c r="P169" s="200">
        <f t="shared" si="49"/>
        <v>942.6064741945944</v>
      </c>
      <c r="Q169" s="187">
        <f>IFERROR(VLOOKUP(A169,[1]Energiindhold!$A$2:$C$11,3,FALSE),IFERROR(VLOOKUP(A169,[1]Biogasudbytte!$A$2:$B$18,2,FALSE)*[1]Energiindhold!$C$10,0))*O169</f>
        <v>4.4588986809159721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3.2282952092100993E-3</v>
      </c>
      <c r="S169" s="187">
        <f>IFERROR(VLOOKUP(A169,[1]Biogasudbytte!$A$2:$B$18,2,FALSE)*[1]Energiindhold!$C$10,0)*J169*IFERROR(VLOOKUP(A169,Biogasanlæg!$F$3:$G$8,2,FALSE),1)</f>
        <v>3.2282952092100993E-3</v>
      </c>
      <c r="T169" s="188">
        <f t="shared" si="50"/>
        <v>0</v>
      </c>
      <c r="U169" s="186">
        <f>O169*IFERROR(VLOOKUP(A169,[1]Tørstofindhold!A$2:B$24,2,FALSE),0)</f>
        <v>403595.64802180271</v>
      </c>
      <c r="V169" s="187">
        <f>IF(D169=År1,P169,SUM(O169,P169))*IFERROR(VLOOKUP(A169,[1]Tørstofindhold!A$2:B$24,2,FALSE),0)</f>
        <v>292.20800700032424</v>
      </c>
      <c r="W169" s="187">
        <f>J169*IFERROR(VLOOKUP(A169,[1]Tørstofindhold!A$2:B$24,2,FALSE),0)</f>
        <v>292.20800700032424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374820.3560243976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-374820.3560243976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365245.73356828612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15151.053724986185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-344258.58126598754</v>
      </c>
      <c r="O173" s="190">
        <f t="shared" si="39"/>
        <v>0</v>
      </c>
      <c r="P173" s="200">
        <f t="shared" si="49"/>
        <v>15151.053724986185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5.4392282872700405E-2</v>
      </c>
      <c r="S173" s="187">
        <f>IFERROR(VLOOKUP(A173,[1]Biogasudbytte!$A$2:$B$18,2,FALSE)*[1]Energiindhold!$C$10,0)*J173*IFERROR(VLOOKUP(A173,Biogasanlæg!$F$3:$G$8,2,FALSE),1)</f>
        <v>5.4392282872700405E-2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4545.316117495855</v>
      </c>
      <c r="W173" s="187">
        <f>J173*IFERROR(VLOOKUP(A173,[1]Tørstofindhold!A$2:B$24,2,FALSE),0)</f>
        <v>4545.316117495855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395448.91426064254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395448.91426064254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38860.356190289756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38860.356190289756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38860.356190289756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0.71503055390133141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0.71503055390133141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16127.04781897025</v>
      </c>
      <c r="W178" s="187">
        <f>J178*IFERROR(VLOOKUP(A178,[1]Tørstofindhold!A$2:B$24,2,FALSE),0)</f>
        <v>0</v>
      </c>
      <c r="X178" s="188">
        <f t="shared" si="51"/>
        <v>16127.04781897025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309</v>
      </c>
      <c r="B179" s="189" t="s">
        <v>315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x14ac:dyDescent="0.25">
      <c r="A180" s="189" t="s">
        <v>310</v>
      </c>
      <c r="B180" s="189" t="s">
        <v>315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192563.22613808865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192563.22613808865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96281.613069044324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70002.843567045958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61620.23236418837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32042.520829377954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29577.711534810416</v>
      </c>
      <c r="N184" s="199">
        <f t="shared" si="48"/>
        <v>0</v>
      </c>
      <c r="O184" s="190">
        <f t="shared" si="39"/>
        <v>0</v>
      </c>
      <c r="P184" s="200">
        <f t="shared" si="49"/>
        <v>32042.520829377954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1.1214882290282282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1.1214882290282282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2233316.4654569654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24503.032029712213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2105567.5565972263</v>
      </c>
      <c r="O185" s="190">
        <f t="shared" si="39"/>
        <v>1637775.5474174484</v>
      </c>
      <c r="P185" s="200">
        <f t="shared" si="49"/>
        <v>24503.032029712213</v>
      </c>
      <c r="Q185" s="187">
        <f>IFERROR(VLOOKUP(A185,[1]Energiindhold!$A$2:$C$11,3,FALSE),IFERROR(VLOOKUP(A185,[1]Biogasudbytte!$A$2:$B$18,2,FALSE)*[1]Energiindhold!$C$10,0))*O185</f>
        <v>4.4449883467128517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6.650220904992013E-2</v>
      </c>
      <c r="S185" s="187">
        <f>IFERROR(VLOOKUP(A185,[1]Biogasudbytte!$A$2:$B$18,2,FALSE)*[1]Energiindhold!$C$10,0)*J185*IFERROR(VLOOKUP(A185,Biogasanlæg!$F$3:$G$8,2,FALSE),1)</f>
        <v>6.650220904992013E-2</v>
      </c>
      <c r="T185" s="188">
        <f t="shared" si="50"/>
        <v>0</v>
      </c>
      <c r="U185" s="186">
        <f>O185*IFERROR(VLOOKUP(A185,[1]Tørstofindhold!A$2:B$24,2,FALSE),0)</f>
        <v>327555.10948348971</v>
      </c>
      <c r="V185" s="187">
        <f>IF(D185=År1,P185,SUM(O185,P185))*IFERROR(VLOOKUP(A185,[1]Tørstofindhold!A$2:B$24,2,FALSE),0)</f>
        <v>4900.6064059424425</v>
      </c>
      <c r="W185" s="187">
        <f>J185*IFERROR(VLOOKUP(A185,[1]Tørstofindhold!A$2:B$24,2,FALSE),0)</f>
        <v>4900.6064059424425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681614.98381741357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681614.98381741357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681614.98381741357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9.8790337317585379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9.8790337317585379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337115.41074636247</v>
      </c>
      <c r="W193" s="187">
        <f>J193*IFERROR(VLOOKUP(A193,[1]Tørstofindhold!A$2:B$24,2,FALSE),0)</f>
        <v>0</v>
      </c>
      <c r="X193" s="188">
        <f t="shared" ca="1" si="51"/>
        <v>337115.41074636247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187416.40966897184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187416.40966897184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14354.783550318367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-13854.556574310172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28427.465119156146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6333.2934029920762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22094.17171616407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-1.3112847955198959E-2</v>
      </c>
      <c r="O197" s="190">
        <f t="shared" ca="1" si="59"/>
        <v>0</v>
      </c>
      <c r="P197" s="200">
        <f t="shared" ca="1" si="49"/>
        <v>168912.75887120995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7">
        <f ca="1">IFERROR(VLOOKUP(A197,[1]Biogasudbytte!$A$2:$B$18,2,FALSE)*[1]Energiindhold!$C$10,0)*J197*IFERROR(VLOOKUP(A197,Biogasanlæg!$F$3:$G$8,2,FALSE),1)</f>
        <v>0.57547056732591406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47295.572483938791</v>
      </c>
      <c r="W197" s="187">
        <f ca="1">J197*IFERROR(VLOOKUP(A197,[1]Tørstofindhold!A$2:B$24,2,FALSE),0)</f>
        <v>47295.572483938791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103237456.14725502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103237456.14725502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103237456.14725502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3113252.2994941799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2648926.4790757964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464325.82041838346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0</v>
      </c>
      <c r="O200" s="190">
        <f t="shared" si="59"/>
        <v>0</v>
      </c>
      <c r="P200" s="200">
        <f t="shared" si="49"/>
        <v>0</v>
      </c>
      <c r="Q200" s="187">
        <f>IFERROR(VLOOKUP(A200,[1]Energiindhold!$A$2:$C$11,3,FALSE),IFERROR(VLOOKUP(A200,[1]Biogasudbytte!$A$2:$B$18,2,FALSE)*[1]Energiindhold!$C$10,0))*O200</f>
        <v>0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7">
        <f>IFERROR(VLOOKUP(A200,[1]Biogasudbytte!$A$2:$B$18,2,FALSE)*[1]Energiindhold!$C$10,0)*J200*IFERROR(VLOOKUP(A200,Biogasanlæg!$F$3:$G$8,2,FALSE),1)</f>
        <v>0</v>
      </c>
      <c r="T200" s="188">
        <f t="shared" si="50"/>
        <v>0</v>
      </c>
      <c r="U200" s="186">
        <f>O200*IFERROR(VLOOKUP(A200,[1]Tørstofindhold!A$2:B$24,2,FALSE),0)</f>
        <v>0</v>
      </c>
      <c r="V200" s="187">
        <f>IF(D200=År1,P200,SUM(O200,P200))*IFERROR(VLOOKUP(A200,[1]Tørstofindhold!A$2:B$24,2,FALSE),0)</f>
        <v>0</v>
      </c>
      <c r="W200" s="187">
        <f>J200*IFERROR(VLOOKUP(A200,[1]Tørstofindhold!A$2:B$24,2,FALSE),0)</f>
        <v>0</v>
      </c>
      <c r="X200" s="188">
        <f t="shared" si="51"/>
        <v>0</v>
      </c>
      <c r="Y200" s="168">
        <f t="shared" si="60"/>
        <v>0</v>
      </c>
      <c r="Z200" s="103">
        <f t="shared" si="61"/>
        <v>0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286444.08767374518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143222.04383687259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54219.773738244621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89002.270098627952</v>
      </c>
      <c r="O201" s="190">
        <f t="shared" si="59"/>
        <v>89002.270098627952</v>
      </c>
      <c r="P201" s="200">
        <f t="shared" si="49"/>
        <v>143222.04383687259</v>
      </c>
      <c r="Q201" s="187">
        <f>IFERROR(VLOOKUP(A201,[1]Energiindhold!$A$2:$C$11,3,FALSE),IFERROR(VLOOKUP(A201,[1]Biogasudbytte!$A$2:$B$18,2,FALSE)*[1]Energiindhold!$C$10,0))*O201</f>
        <v>0.19171088979244461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0.50021117221706812</v>
      </c>
      <c r="S201" s="187">
        <f>IFERROR(VLOOKUP(A201,[1]Biogasudbytte!$A$2:$B$18,2,FALSE)*[1]Energiindhold!$C$10,0)*J201*IFERROR(VLOOKUP(A201,Biogasanlæg!$F$3:$G$8,2,FALSE),1)</f>
        <v>0.30850028242462357</v>
      </c>
      <c r="T201" s="188">
        <f t="shared" si="50"/>
        <v>0.19171088979244455</v>
      </c>
      <c r="U201" s="186">
        <f>O201*IFERROR(VLOOKUP(A201,[1]Tørstofindhold!A$2:B$24,2,FALSE),0)</f>
        <v>26700.681029588384</v>
      </c>
      <c r="V201" s="187">
        <f>IF(D201=År1,P201,SUM(O201,P201))*IFERROR(VLOOKUP(A201,[1]Tørstofindhold!A$2:B$24,2,FALSE),0)</f>
        <v>69667.294180650162</v>
      </c>
      <c r="W201" s="187">
        <f>J201*IFERROR(VLOOKUP(A201,[1]Tørstofindhold!A$2:B$24,2,FALSE),0)</f>
        <v>42966.613151061778</v>
      </c>
      <c r="X201" s="188">
        <f t="shared" si="51"/>
        <v>26700.681029588384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0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0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560.16154012228367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280.08077006114183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280.08077006114183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280.08077006114183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1.317191853520544E-4</v>
      </c>
      <c r="S203" s="187">
        <f>IFERROR(VLOOKUP(A203,[1]Biogasudbytte!$A$2:$B$18,2,FALSE)*[1]Energiindhold!$C$10,0)*J203*IFERROR(VLOOKUP(A203,Biogasanlæg!$F$3:$G$8,2,FALSE),1)</f>
        <v>1.317191853520544E-4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17.645088513851935</v>
      </c>
      <c r="W203" s="187">
        <f>J203*IFERROR(VLOOKUP(A203,[1]Tørstofindhold!A$2:B$24,2,FALSE),0)</f>
        <v>17.645088513851935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12195.236527675561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-18364.881940672021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651574.6178029154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651574.6178029154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16628.1277891153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-206695.81486419399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2253848.7282700147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1201654.4608093714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10365.657989973257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199">
        <f t="shared" si="48"/>
        <v>1041828.6094706701</v>
      </c>
      <c r="O208" s="190">
        <f t="shared" si="59"/>
        <v>1041828.6094706701</v>
      </c>
      <c r="P208" s="200">
        <f t="shared" si="49"/>
        <v>10365.657989973257</v>
      </c>
      <c r="Q208" s="187">
        <f>IFERROR(VLOOKUP(A208,[1]Energiindhold!$A$2:$C$11,3,FALSE),IFERROR(VLOOKUP(A208,[1]Biogasudbytte!$A$2:$B$18,2,FALSE)*[1]Energiindhold!$C$10,0))*O208</f>
        <v>1.9168344128498493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1.9359059278441515</v>
      </c>
      <c r="S208" s="187">
        <f>IFERROR(VLOOKUP(A208,[1]Biogasudbytte!$A$2:$B$18,2,FALSE)*[1]Energiindhold!$C$10,0)*J208*IFERROR(VLOOKUP(A208,Biogasanlæg!$F$3:$G$8,2,FALSE),1)</f>
        <v>1.9071514994302048E-2</v>
      </c>
      <c r="T208" s="188">
        <f t="shared" si="50"/>
        <v>1.9168344128498493</v>
      </c>
      <c r="U208" s="186">
        <f>O208*IFERROR(VLOOKUP(A208,[1]Tørstofindhold!A$2:B$24,2,FALSE),0)</f>
        <v>291712.01065178768</v>
      </c>
      <c r="V208" s="187">
        <f>IF(D208=År1,P208,SUM(O208,P208))*IFERROR(VLOOKUP(A208,[1]Tørstofindhold!A$2:B$24,2,FALSE),0)</f>
        <v>294614.39488898014</v>
      </c>
      <c r="W208" s="187">
        <f>J208*IFERROR(VLOOKUP(A208,[1]Tørstofindhold!A$2:B$24,2,FALSE),0)</f>
        <v>2902.384237192512</v>
      </c>
      <c r="X208" s="188">
        <f t="shared" si="51"/>
        <v>291712.01065178763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99860.697208716942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-134041.74799132804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934395.72639170452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75911.558427530035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82816.687681498166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22191.567452932264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753475.91282974416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775667.48028267641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7.9157274860233011</v>
      </c>
      <c r="S211" s="187">
        <f>IFERROR(VLOOKUP(A211,[1]Biogasudbytte!$A$2:$B$18,2,FALSE)*[1]Energiindhold!$C$10,0)*J211*IFERROR(VLOOKUP(A211,Biogasanlæg!$F$3:$G$8,2,FALSE),1)</f>
        <v>0.12794636981257909</v>
      </c>
      <c r="T211" s="188">
        <f t="shared" si="50"/>
        <v>7.7877811162107218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659317.35824027495</v>
      </c>
      <c r="W211" s="187">
        <f>J211*IFERROR(VLOOKUP(A211,[1]Tørstofindhold!A$2:B$24,2,FALSE),0)</f>
        <v>18862.832334992425</v>
      </c>
      <c r="X211" s="188">
        <f t="shared" si="51"/>
        <v>640454.52590528247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474117.38114065683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-474117.38114065683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195278.17736560528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217506.01855496093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-22227.841189355648</v>
      </c>
      <c r="O214" s="190">
        <f t="shared" si="59"/>
        <v>0</v>
      </c>
      <c r="P214" s="200">
        <f t="shared" si="49"/>
        <v>217506.01855496093</v>
      </c>
      <c r="Q214" s="187">
        <f>IFERROR(VLOOKUP(A214,[1]Energiindhold!$A$2:$C$11,3,FALSE),IFERROR(VLOOKUP(A214,[1]Biogasudbytte!$A$2:$B$18,2,FALSE)*[1]Energiindhold!$C$10,0))*O214</f>
        <v>0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0.80110957605389932</v>
      </c>
      <c r="S214" s="187">
        <f>IFERROR(VLOOKUP(A214,[1]Biogasudbytte!$A$2:$B$18,2,FALSE)*[1]Energiindhold!$C$10,0)*J214*IFERROR(VLOOKUP(A214,Biogasanlæg!$F$3:$G$8,2,FALSE),1)</f>
        <v>0.80110957605389932</v>
      </c>
      <c r="T214" s="188">
        <f t="shared" si="50"/>
        <v>0</v>
      </c>
      <c r="U214" s="186">
        <f>O214*IFERROR(VLOOKUP(A214,[1]Tørstofindhold!A$2:B$24,2,FALSE),0)</f>
        <v>0</v>
      </c>
      <c r="V214" s="187">
        <f>IF(D214=År1,P214,SUM(O214,P214))*IFERROR(VLOOKUP(A214,[1]Tørstofindhold!A$2:B$24,2,FALSE),0)</f>
        <v>91352.527793083587</v>
      </c>
      <c r="W214" s="187">
        <f>J214*IFERROR(VLOOKUP(A214,[1]Tørstofindhold!A$2:B$24,2,FALSE),0)</f>
        <v>91352.527793083587</v>
      </c>
      <c r="X214" s="188">
        <f t="shared" si="51"/>
        <v>0</v>
      </c>
      <c r="Y214" s="168">
        <f t="shared" si="60"/>
        <v>1</v>
      </c>
      <c r="Z214" s="103">
        <f t="shared" si="61"/>
        <v>0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153452.1885801873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153452.1885801873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122729.17644107634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15768.761801859786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2397159.4134105444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577297.28616440261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947.1343436742535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1562680.1534370915</v>
      </c>
      <c r="O217" s="190">
        <f t="shared" si="59"/>
        <v>1562680.1534370915</v>
      </c>
      <c r="P217" s="200">
        <f t="shared" si="63"/>
        <v>947.1343436742535</v>
      </c>
      <c r="Q217" s="187">
        <f>IFERROR(VLOOKUP(A217,[1]Energiindhold!$A$2:$C$11,3,FALSE),IFERROR(VLOOKUP(A217,[1]Biogasudbytte!$A$2:$B$18,2,FALSE)*[1]Energiindhold!$C$10,0))*O217</f>
        <v>5.3519607503005577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5.3552045528288339</v>
      </c>
      <c r="S217" s="187">
        <f>IFERROR(VLOOKUP(A217,[1]Biogasudbytte!$A$2:$B$18,2,FALSE)*[1]Energiindhold!$C$10,0)*J217*IFERROR(VLOOKUP(A217,Biogasanlæg!$F$3:$G$8,2,FALSE),1)</f>
        <v>3.2438025282762045E-3</v>
      </c>
      <c r="T217" s="188">
        <f t="shared" si="64"/>
        <v>5.3519607503005577</v>
      </c>
      <c r="U217" s="186">
        <f>O217*IFERROR(VLOOKUP(A217,[1]Tørstofindhold!A$2:B$24,2,FALSE),0)</f>
        <v>484430.84756549838</v>
      </c>
      <c r="V217" s="187">
        <f>IF(D217=År1,P217,SUM(O217,P217))*IFERROR(VLOOKUP(A217,[1]Tørstofindhold!A$2:B$24,2,FALSE),0)</f>
        <v>484724.45921203739</v>
      </c>
      <c r="W217" s="187">
        <f>J217*IFERROR(VLOOKUP(A217,[1]Tørstofindhold!A$2:B$24,2,FALSE),0)</f>
        <v>293.61164653901858</v>
      </c>
      <c r="X217" s="188">
        <f t="shared" si="65"/>
        <v>484430.84756549838</v>
      </c>
      <c r="Y217" s="168">
        <f t="shared" si="60"/>
        <v>0</v>
      </c>
      <c r="Z217" s="103">
        <f t="shared" si="61"/>
        <v>1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392543.73090939765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-392543.73090939765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738231.33813296724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561055.81698105508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177175.52115191214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561055.81698105508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0.28400084399764031</v>
      </c>
      <c r="S219" s="187">
        <f>IFERROR(VLOOKUP(A219,[1]Biogasudbytte!$A$2:$B$18,2,FALSE)*[1]Energiindhold!$C$10,0)*J219*IFERROR(VLOOKUP(A219,Biogasanlæg!$F$3:$G$8,2,FALSE),1)</f>
        <v>0.28400084399764031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42640.242090560183</v>
      </c>
      <c r="W219" s="187">
        <f>J219*IFERROR(VLOOKUP(A219,[1]Tørstofindhold!A$2:B$24,2,FALSE),0)</f>
        <v>42640.242090560183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92168.427114874314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148832.39497031379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-56663.967855439478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387291.92766215833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555482.60888742993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15243.990880599462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-183434.67210587108</v>
      </c>
      <c r="O221" s="190">
        <f t="shared" si="59"/>
        <v>0</v>
      </c>
      <c r="P221" s="200">
        <f t="shared" si="63"/>
        <v>15243.990880599462</v>
      </c>
      <c r="Q221" s="187">
        <f>IFERROR(VLOOKUP(A221,[1]Energiindhold!$A$2:$C$11,3,FALSE),IFERROR(VLOOKUP(A221,[1]Biogasudbytte!$A$2:$B$18,2,FALSE)*[1]Energiindhold!$C$10,0))*O221</f>
        <v>0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5.4725927261352073E-2</v>
      </c>
      <c r="S221" s="187">
        <f>IFERROR(VLOOKUP(A221,[1]Biogasudbytte!$A$2:$B$18,2,FALSE)*[1]Energiindhold!$C$10,0)*J221*IFERROR(VLOOKUP(A221,Biogasanlæg!$F$3:$G$8,2,FALSE),1)</f>
        <v>5.4725927261352073E-2</v>
      </c>
      <c r="T221" s="188">
        <f t="shared" si="64"/>
        <v>0</v>
      </c>
      <c r="U221" s="186">
        <f>O221*IFERROR(VLOOKUP(A221,[1]Tørstofindhold!A$2:B$24,2,FALSE),0)</f>
        <v>0</v>
      </c>
      <c r="V221" s="187">
        <f>IF(D221=År1,P221,SUM(O221,P221))*IFERROR(VLOOKUP(A221,[1]Tørstofindhold!A$2:B$24,2,FALSE),0)</f>
        <v>4573.1972641798384</v>
      </c>
      <c r="W221" s="187">
        <f>J221*IFERROR(VLOOKUP(A221,[1]Tørstofindhold!A$2:B$24,2,FALSE),0)</f>
        <v>4573.1972641798384</v>
      </c>
      <c r="X221" s="188">
        <f t="shared" si="65"/>
        <v>0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177837.22990030446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-231198.20190680941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6036.6362564051497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-45939.072923222928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1</v>
      </c>
      <c r="Z224" s="103">
        <f t="shared" si="61"/>
        <v>0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416697.13769709459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416697.13769709459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40614.954242467749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40614.954242467749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40614.954242467749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0.74731515806140647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0.74731515806140647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16855.206010624119</v>
      </c>
      <c r="W226" s="187">
        <f>J226*IFERROR(VLOOKUP(A226,[1]Tørstofindhold!A$2:B$24,2,FALSE),0)</f>
        <v>0</v>
      </c>
      <c r="X226" s="188">
        <f t="shared" si="65"/>
        <v>16855.206010624119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0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0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0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0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276928.87898992695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276928.87898992695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202988.92221517742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202988.92221517742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101494.46110758871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21023.015601598698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80471.445505990006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64956.455108856775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64956.455108856775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64956.455108856775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2.2734759288099871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2.2734759288099871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2357380.2059099637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82596.701464021666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24521.571336172448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2250261.9331097696</v>
      </c>
      <c r="O233" s="190">
        <f t="shared" si="59"/>
        <v>1969610.0476000698</v>
      </c>
      <c r="P233" s="200">
        <f t="shared" si="63"/>
        <v>24521.571336172448</v>
      </c>
      <c r="Q233" s="187">
        <f>IFERROR(VLOOKUP(A233,[1]Energiindhold!$A$2:$C$11,3,FALSE),IFERROR(VLOOKUP(A233,[1]Biogasudbytte!$A$2:$B$18,2,FALSE)*[1]Energiindhold!$C$10,0))*O233</f>
        <v>5.3456004535884931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5.4121529790577183</v>
      </c>
      <c r="S233" s="187">
        <f>IFERROR(VLOOKUP(A233,[1]Biogasudbytte!$A$2:$B$18,2,FALSE)*[1]Energiindhold!$C$10,0)*J233*IFERROR(VLOOKUP(A233,Biogasanlæg!$F$3:$G$8,2,FALSE),1)</f>
        <v>6.6552525469225479E-2</v>
      </c>
      <c r="T233" s="188">
        <f t="shared" si="64"/>
        <v>5.3456004535884931</v>
      </c>
      <c r="U233" s="186">
        <f>O233*IFERROR(VLOOKUP(A233,[1]Tørstofindhold!A$2:B$24,2,FALSE),0)</f>
        <v>393922.00952001399</v>
      </c>
      <c r="V233" s="187">
        <f>IF(D233=År1,P233,SUM(O233,P233))*IFERROR(VLOOKUP(A233,[1]Tørstofindhold!A$2:B$24,2,FALSE),0)</f>
        <v>398826.32378724846</v>
      </c>
      <c r="W233" s="187">
        <f>J233*IFERROR(VLOOKUP(A233,[1]Tørstofindhold!A$2:B$24,2,FALSE),0)</f>
        <v>4904.3142672344902</v>
      </c>
      <c r="X233" s="188">
        <f t="shared" si="65"/>
        <v>393922.00952001399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18028.658633856463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18028.658633856463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14632.341003448482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3870.3459684951581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10761.995034953325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3342323.2852705466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1267572.2425659813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2074751.0427045652</v>
      </c>
      <c r="O236" s="190">
        <f t="shared" si="59"/>
        <v>2074751.0427045652</v>
      </c>
      <c r="P236" s="200">
        <f t="shared" si="63"/>
        <v>1267572.2425659813</v>
      </c>
      <c r="Q236" s="187">
        <f>IFERROR(VLOOKUP(A236,[1]Energiindhold!$A$2:$C$11,3,FALSE),IFERROR(VLOOKUP(A236,[1]Biogasudbytte!$A$2:$B$18,2,FALSE)*[1]Energiindhold!$C$10,0))*O236</f>
        <v>1.0353215178200053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1.6678527425828555</v>
      </c>
      <c r="S236" s="187">
        <f>IFERROR(VLOOKUP(A236,[1]Biogasudbytte!$A$2:$B$18,2,FALSE)*[1]Energiindhold!$C$10,0)*J236*IFERROR(VLOOKUP(A236,Biogasanlæg!$F$3:$G$8,2,FALSE),1)</f>
        <v>0.6325312247628504</v>
      </c>
      <c r="T236" s="188">
        <f t="shared" si="64"/>
        <v>1.0353215178200053</v>
      </c>
      <c r="U236" s="186">
        <f>O236*IFERROR(VLOOKUP(A236,[1]Tørstofindhold!A$2:B$24,2,FALSE),0)</f>
        <v>124485.0625622739</v>
      </c>
      <c r="V236" s="187">
        <f>IF(D236=År1,P236,SUM(O236,P236))*IFERROR(VLOOKUP(A236,[1]Tørstofindhold!A$2:B$24,2,FALSE),0)</f>
        <v>200539.39711623278</v>
      </c>
      <c r="W236" s="187">
        <f>J236*IFERROR(VLOOKUP(A236,[1]Tørstofindhold!A$2:B$24,2,FALSE),0)</f>
        <v>76054.334553958877</v>
      </c>
      <c r="X236" s="188">
        <f t="shared" si="65"/>
        <v>124485.0625622739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1747439.8704342765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926143.13133016659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821296.73910410993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926143.13133016659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0.39898246097703582</v>
      </c>
      <c r="S237" s="187">
        <f>IFERROR(VLOOKUP(A237,[1]Biogasudbytte!$A$2:$B$18,2,FALSE)*[1]Energiindhold!$C$10,0)*J237*IFERROR(VLOOKUP(A237,Biogasanlæg!$F$3:$G$8,2,FALSE),1)</f>
        <v>0.39898246097703582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46307.156566508333</v>
      </c>
      <c r="W237" s="187">
        <f>J237*IFERROR(VLOOKUP(A237,[1]Tørstofindhold!A$2:B$24,2,FALSE),0)</f>
        <v>46307.156566508333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159736.08962264023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54209.6497730923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645049.46160507516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645049.46160507516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645049.46160507516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9.3490688161811804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9.3490688161811804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319030.71288551006</v>
      </c>
      <c r="W241" s="187">
        <f>J241*IFERROR(VLOOKUP(A241,[1]Tørstofindhold!A$2:B$24,2,FALSE),0)</f>
        <v>0</v>
      </c>
      <c r="X241" s="188">
        <f t="shared" ca="1" si="65"/>
        <v>319030.71288551006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177362.37762242398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177362.37762242398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13980.879672720754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-15551.122347381201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29671.151024691055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6333.293402992078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23337.857621698975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-8.6147268739296123E-2</v>
      </c>
      <c r="O245" s="190">
        <f t="shared" ca="1" si="59"/>
        <v>0</v>
      </c>
      <c r="P245" s="200">
        <f t="shared" ca="1" si="63"/>
        <v>172292.76645701908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7">
        <f ca="1">IFERROR(VLOOKUP(A245,[1]Biogasudbytte!$A$2:$B$18,2,FALSE)*[1]Energiindhold!$C$10,0)*J245*IFERROR(VLOOKUP(A245,Biogasanlæg!$F$3:$G$8,2,FALSE),1)</f>
        <v>0.58698594897008305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48241.974607965349</v>
      </c>
      <c r="W245" s="187">
        <f ca="1">J245*IFERROR(VLOOKUP(A245,[1]Tørstofindhold!A$2:B$24,2,FALSE),0)</f>
        <v>48241.974607965349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104311718.98447627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104311718.98447627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104311718.98447627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3132497.0295839394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2636205.4397722334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496291.58981170598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0</v>
      </c>
      <c r="O248" s="190">
        <f t="shared" si="59"/>
        <v>0</v>
      </c>
      <c r="P248" s="200">
        <f t="shared" si="63"/>
        <v>0</v>
      </c>
      <c r="Q248" s="187">
        <f>IFERROR(VLOOKUP(A248,[1]Energiindhold!$A$2:$C$11,3,FALSE),IFERROR(VLOOKUP(A248,[1]Biogasudbytte!$A$2:$B$18,2,FALSE)*[1]Energiindhold!$C$10,0))*O248</f>
        <v>0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7">
        <f>IFERROR(VLOOKUP(A248,[1]Biogasudbytte!$A$2:$B$18,2,FALSE)*[1]Energiindhold!$C$10,0)*J248*IFERROR(VLOOKUP(A248,Biogasanlæg!$F$3:$G$8,2,FALSE),1)</f>
        <v>0</v>
      </c>
      <c r="T248" s="188">
        <f t="shared" si="64"/>
        <v>0</v>
      </c>
      <c r="U248" s="186">
        <f>O248*IFERROR(VLOOKUP(A248,[1]Tørstofindhold!A$2:B$24,2,FALSE),0)</f>
        <v>0</v>
      </c>
      <c r="V248" s="187">
        <f>IF(D248=År1,P248,SUM(O248,P248))*IFERROR(VLOOKUP(A248,[1]Tørstofindhold!A$2:B$24,2,FALSE),0)</f>
        <v>0</v>
      </c>
      <c r="W248" s="187">
        <f>J248*IFERROR(VLOOKUP(A248,[1]Tørstofindhold!A$2:B$24,2,FALSE),0)</f>
        <v>0</v>
      </c>
      <c r="X248" s="188">
        <f t="shared" si="65"/>
        <v>0</v>
      </c>
      <c r="Y248" s="168">
        <f t="shared" si="60"/>
        <v>0</v>
      </c>
      <c r="Z248" s="103">
        <f t="shared" si="61"/>
        <v>0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301646.48561279988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150823.24280639994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57097.370490994261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93725.872315405693</v>
      </c>
      <c r="O249" s="190">
        <f t="shared" si="59"/>
        <v>93725.872315405693</v>
      </c>
      <c r="P249" s="200">
        <f t="shared" si="63"/>
        <v>150823.24280639994</v>
      </c>
      <c r="Q249" s="187">
        <f>IFERROR(VLOOKUP(A249,[1]Energiindhold!$A$2:$C$11,3,FALSE),IFERROR(VLOOKUP(A249,[1]Biogasudbytte!$A$2:$B$18,2,FALSE)*[1]Energiindhold!$C$10,0))*O249</f>
        <v>0.20188552896738388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0.52675879397236935</v>
      </c>
      <c r="S249" s="187">
        <f>IFERROR(VLOOKUP(A249,[1]Biogasudbytte!$A$2:$B$18,2,FALSE)*[1]Energiindhold!$C$10,0)*J249*IFERROR(VLOOKUP(A249,Biogasanlæg!$F$3:$G$8,2,FALSE),1)</f>
        <v>0.32487326500498548</v>
      </c>
      <c r="T249" s="188">
        <f t="shared" si="64"/>
        <v>0.20188552896738388</v>
      </c>
      <c r="U249" s="186">
        <f>O249*IFERROR(VLOOKUP(A249,[1]Tørstofindhold!A$2:B$24,2,FALSE),0)</f>
        <v>28117.761694621706</v>
      </c>
      <c r="V249" s="187">
        <f>IF(D249=År1,P249,SUM(O249,P249))*IFERROR(VLOOKUP(A249,[1]Tørstofindhold!A$2:B$24,2,FALSE),0)</f>
        <v>73364.734536541684</v>
      </c>
      <c r="W249" s="187">
        <f>J249*IFERROR(VLOOKUP(A249,[1]Tørstofindhold!A$2:B$24,2,FALSE),0)</f>
        <v>45246.972841919982</v>
      </c>
      <c r="X249" s="188">
        <f t="shared" si="65"/>
        <v>28117.761694621702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0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0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578.47871789484248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289.23935894742124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289.23935894742124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289.23935894742124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1.3602637811938273E-4</v>
      </c>
      <c r="S251" s="187">
        <f>IFERROR(VLOOKUP(A251,[1]Biogasudbytte!$A$2:$B$18,2,FALSE)*[1]Energiindhold!$C$10,0)*J251*IFERROR(VLOOKUP(A251,Biogasanlæg!$F$3:$G$8,2,FALSE),1)</f>
        <v>1.3602637811938273E-4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18.222079613687537</v>
      </c>
      <c r="W251" s="187">
        <f>J251*IFERROR(VLOOKUP(A251,[1]Tørstofindhold!A$2:B$24,2,FALSE),0)</f>
        <v>18.222079613687537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11660.091914249606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-20332.910274194179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680414.34761758172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680414.34761758172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17356.133122278541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-216438.88287019526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2383188.3585043661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1201654.4608093717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10433.230256670677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199">
        <f t="shared" si="62"/>
        <v>1171100.6674383238</v>
      </c>
      <c r="O256" s="190">
        <f t="shared" si="59"/>
        <v>1171100.6674383238</v>
      </c>
      <c r="P256" s="200">
        <f t="shared" si="63"/>
        <v>10433.230256670677</v>
      </c>
      <c r="Q256" s="187">
        <f>IFERROR(VLOOKUP(A256,[1]Energiindhold!$A$2:$C$11,3,FALSE),IFERROR(VLOOKUP(A256,[1]Biogasudbytte!$A$2:$B$18,2,FALSE)*[1]Energiindhold!$C$10,0))*O256</f>
        <v>2.1546788405030863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2.1738746800215782</v>
      </c>
      <c r="S256" s="187">
        <f>IFERROR(VLOOKUP(A256,[1]Biogasudbytte!$A$2:$B$18,2,FALSE)*[1]Energiindhold!$C$10,0)*J256*IFERROR(VLOOKUP(A256,Biogasanlæg!$F$3:$G$8,2,FALSE),1)</f>
        <v>1.9195839518491964E-2</v>
      </c>
      <c r="T256" s="188">
        <f t="shared" si="64"/>
        <v>2.1546788405030863</v>
      </c>
      <c r="U256" s="186">
        <f>O256*IFERROR(VLOOKUP(A256,[1]Tørstofindhold!A$2:B$24,2,FALSE),0)</f>
        <v>327908.18688273069</v>
      </c>
      <c r="V256" s="187">
        <f>IF(D256=År1,P256,SUM(O256,P256))*IFERROR(VLOOKUP(A256,[1]Tørstofindhold!A$2:B$24,2,FALSE),0)</f>
        <v>330829.49135459849</v>
      </c>
      <c r="W256" s="187">
        <f>J256*IFERROR(VLOOKUP(A256,[1]Tørstofindhold!A$2:B$24,2,FALSE),0)</f>
        <v>2921.3044718677897</v>
      </c>
      <c r="X256" s="188">
        <f t="shared" si="65"/>
        <v>327908.18688273069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103505.43836904144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-141364.07838097058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912256.65771204641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75911.55842753005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82449.939525946174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22414.996338090419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731480.16342047986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753895.15975857025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7.689671868019551</v>
      </c>
      <c r="S259" s="187">
        <f>IFERROR(VLOOKUP(A259,[1]Biogasudbytte!$A$2:$B$18,2,FALSE)*[1]Energiindhold!$C$10,0)*J259*IFERROR(VLOOKUP(A259,Biogasanlæg!$F$3:$G$8,2,FALSE),1)</f>
        <v>0.12923455798711384</v>
      </c>
      <c r="T259" s="188">
        <f t="shared" si="64"/>
        <v>7.5604373100324374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640810.88579478476</v>
      </c>
      <c r="W259" s="187">
        <f>J259*IFERROR(VLOOKUP(A259,[1]Tørstofindhold!A$2:B$24,2,FALSE),0)</f>
        <v>19052.746887376856</v>
      </c>
      <c r="X259" s="188">
        <f t="shared" si="65"/>
        <v>621758.13890740788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474117.381140657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-474117.381140657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195751.05229011617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217936.45077407858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-22185.398483962403</v>
      </c>
      <c r="O262" s="190">
        <f t="shared" si="75"/>
        <v>0</v>
      </c>
      <c r="P262" s="200">
        <f t="shared" si="63"/>
        <v>217936.45077407858</v>
      </c>
      <c r="Q262" s="187">
        <f>IFERROR(VLOOKUP(A262,[1]Energiindhold!$A$2:$C$11,3,FALSE),IFERROR(VLOOKUP(A262,[1]Biogasudbytte!$A$2:$B$18,2,FALSE)*[1]Energiindhold!$C$10,0))*O262</f>
        <v>0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0.80269492700128076</v>
      </c>
      <c r="S262" s="187">
        <f>IFERROR(VLOOKUP(A262,[1]Biogasudbytte!$A$2:$B$18,2,FALSE)*[1]Energiindhold!$C$10,0)*J262*IFERROR(VLOOKUP(A262,Biogasanlæg!$F$3:$G$8,2,FALSE),1)</f>
        <v>0.80269492700128076</v>
      </c>
      <c r="T262" s="188">
        <f t="shared" si="64"/>
        <v>0</v>
      </c>
      <c r="U262" s="186">
        <f>O262*IFERROR(VLOOKUP(A262,[1]Tørstofindhold!A$2:B$24,2,FALSE),0)</f>
        <v>0</v>
      </c>
      <c r="V262" s="187">
        <f>IF(D262=År1,P262,SUM(O262,P262))*IFERROR(VLOOKUP(A262,[1]Tørstofindhold!A$2:B$24,2,FALSE),0)</f>
        <v>91533.309325113005</v>
      </c>
      <c r="W262" s="187">
        <f>J262*IFERROR(VLOOKUP(A262,[1]Tørstofindhold!A$2:B$24,2,FALSE),0)</f>
        <v>91533.309325113005</v>
      </c>
      <c r="X262" s="188">
        <f t="shared" si="65"/>
        <v>0</v>
      </c>
      <c r="Y262" s="168">
        <f t="shared" si="76"/>
        <v>1</v>
      </c>
      <c r="Z262" s="103">
        <f t="shared" si="77"/>
        <v>0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160170.5644002886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160170.5644002886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128113.19770884549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16137.690049292243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2513308.7441212214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577297.28616440273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953.04759084937086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1666809.3920167098</v>
      </c>
      <c r="O265" s="190">
        <f t="shared" si="75"/>
        <v>1666809.3920167098</v>
      </c>
      <c r="P265" s="200">
        <f t="shared" si="63"/>
        <v>953.04759084937086</v>
      </c>
      <c r="Q265" s="187">
        <f>IFERROR(VLOOKUP(A265,[1]Energiindhold!$A$2:$C$11,3,FALSE),IFERROR(VLOOKUP(A265,[1]Biogasudbytte!$A$2:$B$18,2,FALSE)*[1]Energiindhold!$C$10,0))*O265</f>
        <v>5.7085888143423498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5.7118528689143462</v>
      </c>
      <c r="S265" s="187">
        <f>IFERROR(VLOOKUP(A265,[1]Biogasudbytte!$A$2:$B$18,2,FALSE)*[1]Energiindhold!$C$10,0)*J265*IFERROR(VLOOKUP(A265,Biogasanlæg!$F$3:$G$8,2,FALSE),1)</f>
        <v>3.2640545719963771E-3</v>
      </c>
      <c r="T265" s="188">
        <f t="shared" si="64"/>
        <v>5.7085888143423498</v>
      </c>
      <c r="U265" s="186">
        <f>O265*IFERROR(VLOOKUP(A265,[1]Tørstofindhold!A$2:B$24,2,FALSE),0)</f>
        <v>516710.91152518004</v>
      </c>
      <c r="V265" s="187">
        <f>IF(D265=År1,P265,SUM(O265,P265))*IFERROR(VLOOKUP(A265,[1]Tørstofindhold!A$2:B$24,2,FALSE),0)</f>
        <v>517006.35627834336</v>
      </c>
      <c r="W265" s="187">
        <f>J265*IFERROR(VLOOKUP(A265,[1]Tørstofindhold!A$2:B$24,2,FALSE),0)</f>
        <v>295.44475316330494</v>
      </c>
      <c r="X265" s="188">
        <f t="shared" si="65"/>
        <v>516710.91152518004</v>
      </c>
      <c r="Y265" s="168">
        <f t="shared" si="76"/>
        <v>0</v>
      </c>
      <c r="Z265" s="103">
        <f t="shared" si="77"/>
        <v>1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381219.06515677791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-381219.06515677791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724125.12538599269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550335.09529335448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173790.03009263825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550335.09529335448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0.27857412188654312</v>
      </c>
      <c r="S267" s="187">
        <f>IFERROR(VLOOKUP(A267,[1]Biogasudbytte!$A$2:$B$18,2,FALSE)*[1]Energiindhold!$C$10,0)*J267*IFERROR(VLOOKUP(A267,Biogasanlæg!$F$3:$G$8,2,FALSE),1)</f>
        <v>0.27857412188654312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41825.467242294937</v>
      </c>
      <c r="W267" s="187">
        <f>J267*IFERROR(VLOOKUP(A267,[1]Tørstofindhold!A$2:B$24,2,FALSE),0)</f>
        <v>41825.467242294937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90456.37389070644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148832.39497031382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-58376.021079607381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408888.66992592916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555482.60888743005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15364.519148894226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-161958.45811039512</v>
      </c>
      <c r="O269" s="190">
        <f t="shared" si="75"/>
        <v>0</v>
      </c>
      <c r="P269" s="200">
        <f t="shared" si="63"/>
        <v>15364.519148894226</v>
      </c>
      <c r="Q269" s="187">
        <f>IFERROR(VLOOKUP(A269,[1]Energiindhold!$A$2:$C$11,3,FALSE),IFERROR(VLOOKUP(A269,[1]Biogasudbytte!$A$2:$B$18,2,FALSE)*[1]Energiindhold!$C$10,0))*O269</f>
        <v>0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5.5158623744530275E-2</v>
      </c>
      <c r="S269" s="187">
        <f>IFERROR(VLOOKUP(A269,[1]Biogasudbytte!$A$2:$B$18,2,FALSE)*[1]Energiindhold!$C$10,0)*J269*IFERROR(VLOOKUP(A269,Biogasanlæg!$F$3:$G$8,2,FALSE),1)</f>
        <v>5.5158623744530275E-2</v>
      </c>
      <c r="T269" s="188">
        <f t="shared" si="64"/>
        <v>0</v>
      </c>
      <c r="U269" s="186">
        <f>O269*IFERROR(VLOOKUP(A269,[1]Tørstofindhold!A$2:B$24,2,FALSE),0)</f>
        <v>0</v>
      </c>
      <c r="V269" s="187">
        <f>IF(D269=År1,P269,SUM(O269,P269))*IFERROR(VLOOKUP(A269,[1]Tørstofindhold!A$2:B$24,2,FALSE),0)</f>
        <v>4609.3557446682671</v>
      </c>
      <c r="W269" s="187">
        <f>J269*IFERROR(VLOOKUP(A269,[1]Tørstofindhold!A$2:B$24,2,FALSE),0)</f>
        <v>4609.3557446682671</v>
      </c>
      <c r="X269" s="188">
        <f t="shared" si="65"/>
        <v>0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174533.85571503793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-253680.1735764404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5844.4508372651044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-48568.262884772746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434940.78739744844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434940.78739744844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42440.412782955995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42440.412782955995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42440.412782955995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0.78090359520639019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0.78090359520639019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17612.77130492674</v>
      </c>
      <c r="W274" s="187">
        <f>J274*IFERROR(VLOOKUP(A274,[1]Tørstofindhold!A$2:B$24,2,FALSE),0)</f>
        <v>0</v>
      </c>
      <c r="X274" s="188">
        <f t="shared" si="65"/>
        <v>17612.77130492674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0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0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0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0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271784.85087768652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271784.85087768652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211655.83028103792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211655.83028103792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105827.91514051896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21023.015601598701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84804.899538920261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67729.865689932136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67729.865689932136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67729.865689932136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2.3705452991476244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2.3705452991476244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2460019.4054890401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82596.70146402168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24552.18089354931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2352870.5231314693</v>
      </c>
      <c r="O281" s="190">
        <f t="shared" si="89"/>
        <v>2085925.8941863212</v>
      </c>
      <c r="P281" s="200">
        <f t="shared" si="63"/>
        <v>24552.18089354931</v>
      </c>
      <c r="Q281" s="187">
        <f>IFERROR(VLOOKUP(A281,[1]Energiindhold!$A$2:$C$11,3,FALSE),IFERROR(VLOOKUP(A281,[1]Biogasudbytte!$A$2:$B$18,2,FALSE)*[1]Energiindhold!$C$10,0))*O281</f>
        <v>5.6612863138574427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5.7279219148897713</v>
      </c>
      <c r="S281" s="187">
        <f>IFERROR(VLOOKUP(A281,[1]Biogasudbytte!$A$2:$B$18,2,FALSE)*[1]Energiindhold!$C$10,0)*J281*IFERROR(VLOOKUP(A281,Biogasanlæg!$F$3:$G$8,2,FALSE),1)</f>
        <v>6.6635601032328573E-2</v>
      </c>
      <c r="T281" s="188">
        <f t="shared" si="64"/>
        <v>5.6612863138574427</v>
      </c>
      <c r="U281" s="186">
        <f>O281*IFERROR(VLOOKUP(A281,[1]Tørstofindhold!A$2:B$24,2,FALSE),0)</f>
        <v>417185.17883726425</v>
      </c>
      <c r="V281" s="187">
        <f>IF(D281=År1,P281,SUM(O281,P281))*IFERROR(VLOOKUP(A281,[1]Tørstofindhold!A$2:B$24,2,FALSE),0)</f>
        <v>422095.61501597409</v>
      </c>
      <c r="W281" s="187">
        <f>J281*IFERROR(VLOOKUP(A281,[1]Tørstofindhold!A$2:B$24,2,FALSE),0)</f>
        <v>4910.4361787098624</v>
      </c>
      <c r="X281" s="188">
        <f t="shared" si="65"/>
        <v>417185.17883726425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17515.983585710339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17515.983585710339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14228.619026408833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3870.345968495159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10358.273057913673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3498582.8365199142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1326833.4967577588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2171749.3397621554</v>
      </c>
      <c r="O284" s="190">
        <f t="shared" si="89"/>
        <v>2171749.3397621554</v>
      </c>
      <c r="P284" s="200">
        <f t="shared" si="94"/>
        <v>1326833.4967577588</v>
      </c>
      <c r="Q284" s="187">
        <f>IFERROR(VLOOKUP(A284,[1]Energiindhold!$A$2:$C$11,3,FALSE),IFERROR(VLOOKUP(A284,[1]Biogasudbytte!$A$2:$B$18,2,FALSE)*[1]Energiindhold!$C$10,0))*O284</f>
        <v>1.0837246380347134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1.7458278212518028</v>
      </c>
      <c r="S284" s="187">
        <f>IFERROR(VLOOKUP(A284,[1]Biogasudbytte!$A$2:$B$18,2,FALSE)*[1]Energiindhold!$C$10,0)*J284*IFERROR(VLOOKUP(A284,Biogasanlæg!$F$3:$G$8,2,FALSE),1)</f>
        <v>0.66210318321708928</v>
      </c>
      <c r="T284" s="188">
        <f t="shared" si="95"/>
        <v>1.0837246380347136</v>
      </c>
      <c r="U284" s="186">
        <f>O284*IFERROR(VLOOKUP(A284,[1]Tørstofindhold!A$2:B$24,2,FALSE),0)</f>
        <v>130304.96038572933</v>
      </c>
      <c r="V284" s="187">
        <f>IF(D284=År1,P284,SUM(O284,P284))*IFERROR(VLOOKUP(A284,[1]Tørstofindhold!A$2:B$24,2,FALSE),0)</f>
        <v>209914.97019119485</v>
      </c>
      <c r="W284" s="187">
        <f>J284*IFERROR(VLOOKUP(A284,[1]Tørstofindhold!A$2:B$24,2,FALSE),0)</f>
        <v>79610.009805465525</v>
      </c>
      <c r="X284" s="188">
        <f t="shared" si="96"/>
        <v>130304.96038572933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1672957.9533098161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886667.7152542026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786290.23805561347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886667.7152542026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0.38197645173151057</v>
      </c>
      <c r="S285" s="187">
        <f>IFERROR(VLOOKUP(A285,[1]Biogasudbytte!$A$2:$B$18,2,FALSE)*[1]Energiindhold!$C$10,0)*J285*IFERROR(VLOOKUP(A285,Biogasanlæg!$F$3:$G$8,2,FALSE),1)</f>
        <v>0.38197645173151057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44333.385762710132</v>
      </c>
      <c r="W285" s="187">
        <f>J285*IFERROR(VLOOKUP(A285,[1]Tørstofindhold!A$2:B$24,2,FALSE),0)</f>
        <v>44333.385762710132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155347.1964728414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44872.898915976679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585276.82167847839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585276.82167847839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585276.82167847839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8.4827499410238172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8.4827499410238172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289468.16138848074</v>
      </c>
      <c r="W289" s="187">
        <f>J289*IFERROR(VLOOKUP(A289,[1]Tørstofindhold!A$2:B$24,2,FALSE),0)</f>
        <v>0</v>
      </c>
      <c r="X289" s="188">
        <f t="shared" ca="1" si="96"/>
        <v>289468.16138848074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161253.53800096706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161253.53800096706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8" t="s">
        <v>23</v>
      </c>
      <c r="B2" s="449"/>
      <c r="C2" s="449"/>
      <c r="D2" s="449"/>
      <c r="E2" s="449"/>
      <c r="F2" s="449"/>
      <c r="G2" s="449"/>
      <c r="H2" s="449"/>
      <c r="I2" s="449"/>
      <c r="J2" s="449"/>
      <c r="K2" s="449"/>
      <c r="L2" s="449"/>
      <c r="M2" s="449"/>
      <c r="N2" s="449"/>
      <c r="O2" s="449"/>
      <c r="P2" s="449"/>
      <c r="Q2" s="449"/>
      <c r="R2" s="449"/>
      <c r="S2" s="449"/>
      <c r="T2" s="449"/>
      <c r="U2" s="450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44" t="s">
        <v>7</v>
      </c>
      <c r="D3" s="445"/>
      <c r="E3" s="445"/>
      <c r="F3" s="445"/>
      <c r="G3" s="445"/>
      <c r="H3" s="445"/>
      <c r="I3" s="445"/>
      <c r="J3" s="445"/>
      <c r="K3" s="446"/>
      <c r="L3" s="444" t="s">
        <v>8</v>
      </c>
      <c r="M3" s="445"/>
      <c r="N3" s="445"/>
      <c r="O3" s="445"/>
      <c r="P3" s="445"/>
      <c r="Q3" s="445"/>
      <c r="R3" s="445"/>
      <c r="S3" s="445"/>
      <c r="T3" s="446"/>
      <c r="U3" s="71"/>
      <c r="W3" s="31" t="s">
        <v>275</v>
      </c>
      <c r="X3" s="35">
        <f>C24+C51</f>
        <v>11808068</v>
      </c>
      <c r="Y3" s="11">
        <f>D24+D51</f>
        <v>9597731.076909367</v>
      </c>
      <c r="Z3" s="23">
        <f>E24+E51</f>
        <v>9238493.3130771164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276</v>
      </c>
      <c r="X4" s="35">
        <f t="shared" ref="X4:Z5" si="0">C25+C52</f>
        <v>1267084</v>
      </c>
      <c r="Y4" s="11">
        <f t="shared" si="0"/>
        <v>1002383.4251010446</v>
      </c>
      <c r="Z4" s="23">
        <f t="shared" si="0"/>
        <v>953433.53878271766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277</v>
      </c>
      <c r="X5" s="48">
        <f t="shared" si="0"/>
        <v>19782594</v>
      </c>
      <c r="Y5" s="16">
        <f t="shared" si="0"/>
        <v>15770289.144075628</v>
      </c>
      <c r="Z5" s="24">
        <f t="shared" si="0"/>
        <v>15029002.18033967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856024.05830682674</v>
      </c>
      <c r="D6" s="35">
        <f>VLOOKUP($B6,'[1]Afgrødefordeling - jordtype'!$F$4:$I$17,MATCH(D$5,'[1]Afgrødefordeling - jordtype'!$F$3:$I$3,0),FALSE)*(1-Landbrug!$C$5)*Arealanvendelse!K$26</f>
        <v>22635.91835790575</v>
      </c>
      <c r="E6" s="35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826963.57771767024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20435.609145451021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10092.973017126162</v>
      </c>
      <c r="I6" s="11">
        <f>IF(Landbrug!$E$47&gt;0,SUMIF(Landbrug!$B$32:$B$45,$B6,IF($I$4=År2,Landbrug!$D$32:$D$45,Landbrug!$E$32:$E$45)),'[1]Afgrødefordeling - jordtype'!$G4)*(1-Landbrug!$E$5)*Arealanvendelse!P$26</f>
        <v>774548.48763626383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19490.609878609357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9626.2459411896907</v>
      </c>
      <c r="L6" s="35">
        <f>VLOOKUP($B6,'[1]Afgrødefordeling - jordtype'!$F$4:$I$17,MATCH(C$5,'[1]Afgrødefordeling - jordtype'!$F$3:$I$3,0),FALSE)*(Landbrug!$C$5)*Arealanvendelse!J$26</f>
        <v>109452.53235846422</v>
      </c>
      <c r="M6" s="35">
        <f>VLOOKUP($B6,'[1]Afgrødefordeling - jordtype'!$F$4:$I$17,MATCH(D$5,'[1]Afgrødefordeling - jordtype'!$F$3:$I$3,0),FALSE)*(Landbrug!$C$5)*Arealanvendelse!K$26</f>
        <v>2894.2627984460178</v>
      </c>
      <c r="N6" s="35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129063.67975940519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3189.372525590622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1575.203881285586</v>
      </c>
      <c r="R6" s="11">
        <f>IF(Landbrug!$E$47&gt;0,SUMIF(Landbrug!$B$32:$B$45,$B6,IF($R$4=År2,Landbrug!$D$32:$D$45,Landbrug!$E$32:$E$45)),'[1]Afgrødefordeling - jordtype'!$G4)*(Landbrug!$E$5)*Arealanvendelse!P$26</f>
        <v>164298.16404405597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4134.3717924322873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2041.9309572220554</v>
      </c>
      <c r="U6" s="94"/>
      <c r="W6" s="31" t="s">
        <v>278</v>
      </c>
      <c r="X6" s="34">
        <f t="shared" ref="X6:Z8" si="1">F24+F51</f>
        <v>490924</v>
      </c>
      <c r="Y6" s="11">
        <f t="shared" si="1"/>
        <v>552772.32309063291</v>
      </c>
      <c r="Z6" s="23">
        <f t="shared" si="1"/>
        <v>912010.08692288375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59143.999319161092</v>
      </c>
      <c r="D7" s="35">
        <f>VLOOKUP($B7,'[1]Afgrødefordeling - jordtype'!$F$4:$I$17,MATCH(D$5,'[1]Afgrødefordeling - jordtype'!$F$3:$I$3,0),FALSE)*(1-Landbrug!$C$5)*Arealanvendelse!K$26</f>
        <v>1940.4460603454415</v>
      </c>
      <c r="E7" s="35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57136.166679995331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1751.8263067599466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581.14553701562829</v>
      </c>
      <c r="I7" s="11">
        <f>IF(Landbrug!$E$47&gt;0,SUMIF(Landbrug!$B$32:$B$45,$B7,IF($I$4=År2,Landbrug!$D$32:$D$45,Landbrug!$E$32:$E$45)),'[1]Afgrødefordeling - jordtype'!$G5)*(1-Landbrug!$E$5)*Arealanvendelse!P$26</f>
        <v>53514.728681838846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1670.8169977768277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554.27175495710208</v>
      </c>
      <c r="L7" s="35">
        <f>VLOOKUP($B7,'[1]Afgrødefordeling - jordtype'!$F$4:$I$17,MATCH(C$5,'[1]Afgrødefordeling - jordtype'!$F$3:$I$3,0),FALSE)*(Landbrug!$C$5)*Arealanvendelse!J$26</f>
        <v>7562.2413137472431</v>
      </c>
      <c r="M7" s="35">
        <f>VLOOKUP($B7,'[1]Afgrødefordeling - jordtype'!$F$4:$I$17,MATCH(D$5,'[1]Afgrødefordeling - jordtype'!$F$3:$I$3,0),FALSE)*(Landbrug!$C$5)*Arealanvendelse!K$26</f>
        <v>248.10837166177816</v>
      </c>
      <c r="N7" s="35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8917.2052043923359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273.4064178180264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90.699014447525812</v>
      </c>
      <c r="R7" s="11">
        <f>IF(Landbrug!$E$47&gt;0,SUMIF(Landbrug!$B$32:$B$45,$B7,IF($R$4=År2,Landbrug!$D$32:$D$45,Landbrug!$E$32:$E$45)),'[1]Afgrødefordeling - jordtype'!$G5)*(Landbrug!$E$5)*Arealanvendelse!P$26</f>
        <v>11351.609114329452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354.41572680114524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117.57279650605196</v>
      </c>
      <c r="U7" s="94"/>
      <c r="W7" s="31" t="s">
        <v>279</v>
      </c>
      <c r="X7" s="34">
        <f t="shared" si="1"/>
        <v>224348</v>
      </c>
      <c r="Y7" s="11">
        <f t="shared" si="1"/>
        <v>210555.77489895534</v>
      </c>
      <c r="Z7" s="23">
        <f t="shared" si="1"/>
        <v>259505.66121728224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99458.982869280968</v>
      </c>
      <c r="D8" s="35">
        <f>VLOOKUP($B8,'[1]Afgrødefordeling - jordtype'!$F$4:$I$17,MATCH(D$5,'[1]Afgrødefordeling - jordtype'!$F$3:$I$3,0),FALSE)*(1-Landbrug!$C$5)*Arealanvendelse!K$26</f>
        <v>2077.7966510372653</v>
      </c>
      <c r="E8" s="35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96082.528886425716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1875.8258257056677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752.55715483735639</v>
      </c>
      <c r="I8" s="11">
        <f>IF(Landbrug!$E$47&gt;0,SUMIF(Landbrug!$B$32:$B$45,$B8,IF($I$4=År2,Landbrug!$D$32:$D$45,Landbrug!$E$32:$E$45)),'[1]Afgrødefordeling - jordtype'!$G6)*(1-Landbrug!$E$5)*Arealanvendelse!P$26</f>
        <v>89992.569736434336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1789.0824349215904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717.75682397782543</v>
      </c>
      <c r="L8" s="35">
        <f>VLOOKUP($B8,'[1]Afgrødefordeling - jordtype'!$F$4:$I$17,MATCH(C$5,'[1]Afgrødefordeling - jordtype'!$F$3:$I$3,0),FALSE)*(Landbrug!$C$5)*Arealanvendelse!J$26</f>
        <v>12716.97615879156</v>
      </c>
      <c r="M8" s="35">
        <f>VLOOKUP($B8,'[1]Afgrødefordeling - jordtype'!$F$4:$I$17,MATCH(D$5,'[1]Afgrødefordeling - jordtype'!$F$3:$I$3,0),FALSE)*(Landbrug!$C$5)*Arealanvendelse!K$26</f>
        <v>265.67022617540744</v>
      </c>
      <c r="N8" s="35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14995.539190367022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292.75894389626029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117.4511166509169</v>
      </c>
      <c r="R8" s="11">
        <f>IF(Landbrug!$E$47&gt;0,SUMIF(Landbrug!$B$32:$B$45,$B8,IF($R$4=År2,Landbrug!$D$32:$D$45,Landbrug!$E$32:$E$45)),'[1]Afgrødefordeling - jordtype'!$G6)*(Landbrug!$E$5)*Arealanvendelse!P$26</f>
        <v>19089.332974395165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379.50233468033741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152.2514475104478</v>
      </c>
      <c r="U8" s="94"/>
      <c r="W8" s="46" t="s">
        <v>280</v>
      </c>
      <c r="X8" s="47">
        <f t="shared" si="1"/>
        <v>3277287</v>
      </c>
      <c r="Y8" s="16">
        <f t="shared" si="1"/>
        <v>3034725.0559243709</v>
      </c>
      <c r="Z8" s="24">
        <f t="shared" si="1"/>
        <v>3776012.0196603313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189636.9989648702</v>
      </c>
      <c r="D9" s="35">
        <f>VLOOKUP($B9,'[1]Afgrødefordeling - jordtype'!$F$4:$I$17,MATCH(D$5,'[1]Afgrødefordeling - jordtype'!$F$3:$I$3,0),FALSE)*(1-Landbrug!$C$5)*Arealanvendelse!K$26</f>
        <v>19174.640913496198</v>
      </c>
      <c r="E9" s="35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183199.16316583334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17310.782845959839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17356.343608421324</v>
      </c>
      <c r="I9" s="11">
        <f>IF(Landbrug!$E$47&gt;0,SUMIF(Landbrug!$B$32:$B$45,$B9,IF($I$4=År2,Landbrug!$D$32:$D$45,Landbrug!$E$32:$E$45)),'[1]Afgrødefordeling - jordtype'!$G7)*(1-Landbrug!$E$5)*Arealanvendelse!P$26</f>
        <v>171587.52645182351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16510.284217244931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16553.738123638836</v>
      </c>
      <c r="L9" s="35">
        <f>VLOOKUP($B9,'[1]Afgrødefordeling - jordtype'!$F$4:$I$17,MATCH(C$5,'[1]Afgrødefordeling - jordtype'!$F$3:$I$3,0),FALSE)*(Landbrug!$C$5)*Arealanvendelse!J$26</f>
        <v>24247.273851881382</v>
      </c>
      <c r="M9" s="35">
        <f>VLOOKUP($B9,'[1]Afgrødefordeling - jordtype'!$F$4:$I$17,MATCH(D$5,'[1]Afgrødefordeling - jordtype'!$F$3:$I$3,0),FALSE)*(Landbrug!$C$5)*Arealanvendelse!K$26</f>
        <v>2451.6986230474936</v>
      </c>
      <c r="N9" s="35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28591.77691027457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2701.6828719128071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2708.7935111409006</v>
      </c>
      <c r="R9" s="11">
        <f>IF(Landbrug!$E$47&gt;0,SUMIF(Landbrug!$B$32:$B$45,$B9,IF($R$4=År2,Landbrug!$D$32:$D$45,Landbrug!$E$32:$E$45)),'[1]Afgrødefordeling - jordtype'!$G7)*(Landbrug!$E$5)*Arealanvendelse!P$26</f>
        <v>36397.35409584135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3502.1815006277125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3511.3989959233891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7338.5205805106789</v>
      </c>
      <c r="D10" s="35">
        <f>VLOOKUP($B10,'[1]Afgrødefordeling - jordtype'!$F$4:$I$17,MATCH(D$5,'[1]Afgrødefordeling - jordtype'!$F$3:$I$3,0),FALSE)*(1-Landbrug!$C$5)*Arealanvendelse!K$26</f>
        <v>89.680516787297492</v>
      </c>
      <c r="E10" s="35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7089.3909762506346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80.963182498279139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20.173495261269249</v>
      </c>
      <c r="I10" s="11">
        <f>IF(Landbrug!$E$47&gt;0,SUMIF(Landbrug!$B$32:$B$45,$B10,IF($I$4=År2,Landbrug!$D$32:$D$45,Landbrug!$E$32:$E$45)),'[1]Afgrødefordeling - jordtype'!$G8)*(1-Landbrug!$E$5)*Arealanvendelse!P$26</f>
        <v>6640.0470430292489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77.219220301826923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19.24061686768454</v>
      </c>
      <c r="L10" s="35">
        <f>VLOOKUP($B10,'[1]Afgrødefordeling - jordtype'!$F$4:$I$17,MATCH(C$5,'[1]Afgrødefordeling - jordtype'!$F$3:$I$3,0),FALSE)*(Landbrug!$C$5)*Arealanvendelse!J$26</f>
        <v>938.31435402683587</v>
      </c>
      <c r="M10" s="35">
        <f>VLOOKUP($B10,'[1]Afgrødefordeling - jordtype'!$F$4:$I$17,MATCH(D$5,'[1]Afgrødefordeling - jordtype'!$F$3:$I$3,0),FALSE)*(Landbrug!$C$5)*Arealanvendelse!K$26</f>
        <v>11.466686678176497</v>
      </c>
      <c r="N10" s="35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1106.4367419581918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12.635872413026226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3.14846457834838</v>
      </c>
      <c r="R10" s="11">
        <f>IF(Landbrug!$E$47&gt;0,SUMIF(Landbrug!$B$32:$B$45,$B10,IF($R$4=År2,Landbrug!$D$32:$D$45,Landbrug!$E$32:$E$45)),'[1]Afgrødefordeling - jordtype'!$G8)*(Landbrug!$E$5)*Arealanvendelse!P$26</f>
        <v>1408.4948273092346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16.37983460947844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4.0813429719330845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43716.498839298802</v>
      </c>
      <c r="D11" s="35">
        <f>VLOOKUP($B11,'[1]Afgrødefordeling - jordtype'!$F$4:$I$17,MATCH(D$5,'[1]Afgrødefordeling - jordtype'!$F$3:$I$3,0),FALSE)*(1-Landbrug!$C$5)*Arealanvendelse!K$26</f>
        <v>1415.8229166406438</v>
      </c>
      <c r="E11" s="35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42232.402155780161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1278.1988027243244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1067.7890199408878</v>
      </c>
      <c r="I11" s="11">
        <f>IF(Landbrug!$E$47&gt;0,SUMIF(Landbrug!$B$32:$B$45,$B11,IF($I$4=År2,Landbrug!$D$32:$D$45,Landbrug!$E$32:$E$45)),'[1]Afgrødefordeling - jordtype'!$G9)*(1-Landbrug!$E$5)*Arealanvendelse!P$26</f>
        <v>39555.603294264722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1219.0913436388062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1018.4114930072051</v>
      </c>
      <c r="L11" s="35">
        <f>VLOOKUP($B11,'[1]Afgrødefordeling - jordtype'!$F$4:$I$17,MATCH(C$5,'[1]Afgrødefordeling - jordtype'!$F$3:$I$3,0),FALSE)*(Landbrug!$C$5)*Arealanvendelse!J$26</f>
        <v>5589.6577407781906</v>
      </c>
      <c r="M11" s="35">
        <f>VLOOKUP($B11,'[1]Afgrødefordeling - jordtype'!$F$4:$I$17,MATCH(D$5,'[1]Afgrødefordeling - jordtype'!$F$3:$I$3,0),FALSE)*(Landbrug!$C$5)*Arealanvendelse!K$26</f>
        <v>181.02926207936162</v>
      </c>
      <c r="N11" s="35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6591.1841514801417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199.48767441362287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166.64915340117903</v>
      </c>
      <c r="R11" s="11">
        <f>IF(Landbrug!$E$47&gt;0,SUMIF(Landbrug!$B$32:$B$45,$B11,IF($R$4=År2,Landbrug!$D$32:$D$45,Landbrug!$E$32:$E$45)),'[1]Afgrødefordeling - jordtype'!$G9)*(Landbrug!$E$5)*Arealanvendelse!P$26</f>
        <v>8390.5825169652435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258.59513349914073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216.02668033486168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4267.6414750315462</v>
      </c>
      <c r="D12" s="35">
        <f>VLOOKUP($B12,'[1]Afgrødefordeling - jordtype'!$F$4:$I$17,MATCH(D$5,'[1]Afgrødefordeling - jordtype'!$F$3:$I$3,0),FALSE)*(1-Landbrug!$C$5)*Arealanvendelse!K$26</f>
        <v>37.144566460621057</v>
      </c>
      <c r="E12" s="35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4122.7627055119856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33.533953872093285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11.547137405799177</v>
      </c>
      <c r="I12" s="11">
        <f>IF(Landbrug!$E$47&gt;0,SUMIF(Landbrug!$B$32:$B$45,$B12,IF($I$4=År2,Landbrug!$D$32:$D$45,Landbrug!$E$32:$E$45)),'[1]Afgrødefordeling - jordtype'!$G10)*(1-Landbrug!$E$5)*Arealanvendelse!P$26</f>
        <v>3861.4513437830055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31.983250802863537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11.013165733854706</v>
      </c>
      <c r="L12" s="35">
        <f>VLOOKUP($B12,'[1]Afgrødefordeling - jordtype'!$F$4:$I$17,MATCH(C$5,'[1]Afgrødefordeling - jordtype'!$F$3:$I$3,0),FALSE)*(Landbrug!$C$5)*Arealanvendelse!J$26</f>
        <v>545.66710141783074</v>
      </c>
      <c r="M12" s="35">
        <f>VLOOKUP($B12,'[1]Afgrødefordeling - jordtype'!$F$4:$I$17,MATCH(D$5,'[1]Afgrødefordeling - jordtype'!$F$3:$I$3,0),FALSE)*(Landbrug!$C$5)*Arealanvendelse!K$26</f>
        <v>4.7493605150697995</v>
      </c>
      <c r="N12" s="35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643.43695403944287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5.2336228586503974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1.8021543928125885</v>
      </c>
      <c r="R12" s="11">
        <f>IF(Landbrug!$E$47&gt;0,SUMIF(Landbrug!$B$32:$B$45,$B12,IF($R$4=År2,Landbrug!$D$32:$D$45,Landbrug!$E$32:$E$45)),'[1]Afgrødefordeling - jordtype'!$G10)*(Landbrug!$E$5)*Arealanvendelse!P$26</f>
        <v>819.09573959033446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6.7843259278801451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2.336126064757059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146143.69836902106</v>
      </c>
      <c r="D13" s="35">
        <f>VLOOKUP($B13,'[1]Afgrødefordeling - jordtype'!$F$4:$I$17,MATCH(D$5,'[1]Afgrødefordeling - jordtype'!$F$3:$I$3,0),FALSE)*(1-Landbrug!$C$5)*Arealanvendelse!K$26</f>
        <v>4794.8053396620016</v>
      </c>
      <c r="E13" s="35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141182.38207368137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4328.7295130057018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1435.9995781110367</v>
      </c>
      <c r="I13" s="11">
        <f>IF(Landbrug!$E$47&gt;0,SUMIF(Landbrug!$B$32:$B$45,$B13,IF($I$4=År2,Landbrug!$D$32:$D$45,Landbrug!$E$32:$E$45)),'[1]Afgrødefordeling - jordtype'!$G11)*(1-Landbrug!$E$5)*Arealanvendelse!P$26</f>
        <v>132233.87760057871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4128.5570499765372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1369.5949733428961</v>
      </c>
      <c r="L13" s="35">
        <f>VLOOKUP($B13,'[1]Afgrødefordeling - jordtype'!$F$4:$I$17,MATCH(C$5,'[1]Afgrødefordeling - jordtype'!$F$3:$I$3,0),FALSE)*(Landbrug!$C$5)*Arealanvendelse!J$26</f>
        <v>18686.154576496141</v>
      </c>
      <c r="M13" s="35">
        <f>VLOOKUP($B13,'[1]Afgrødefordeling - jordtype'!$F$4:$I$17,MATCH(D$5,'[1]Afgrødefordeling - jordtype'!$F$3:$I$3,0),FALSE)*(Landbrug!$C$5)*Arealanvendelse!K$26</f>
        <v>613.07107142517441</v>
      </c>
      <c r="N13" s="35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22034.244601094775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675.58206272343341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224.11554109247393</v>
      </c>
      <c r="R13" s="11">
        <f>IF(Landbrug!$E$47&gt;0,SUMIF(Landbrug!$B$32:$B$45,$B13,IF($R$4=År2,Landbrug!$D$32:$D$45,Landbrug!$E$32:$E$45)),'[1]Afgrødefordeling - jordtype'!$G11)*(Landbrug!$E$5)*Arealanvendelse!P$26</f>
        <v>28049.610400122754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875.75452575259862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290.52014586061432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2685.4308255346846</v>
      </c>
      <c r="D14" s="35">
        <f>VLOOKUP($B14,'[1]Afgrødefordeling - jordtype'!$F$4:$I$17,MATCH(D$5,'[1]Afgrødefordeling - jordtype'!$F$3:$I$3,0),FALSE)*(1-Landbrug!$C$5)*Arealanvendelse!K$26</f>
        <v>81.683630839432524</v>
      </c>
      <c r="E14" s="35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2594.265268186527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73.74362846793683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41.15138419339192</v>
      </c>
      <c r="I14" s="11">
        <f>IF(Landbrug!$E$47&gt;0,SUMIF(Landbrug!$B$32:$B$45,$B14,IF($I$4=År2,Landbrug!$D$32:$D$45,Landbrug!$E$32:$E$45)),'[1]Afgrødefordeling - jordtype'!$G12)*(1-Landbrug!$E$5)*Arealanvendelse!P$26</f>
        <v>2429.8340267256312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70.333518480980217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39.248430011038536</v>
      </c>
      <c r="L14" s="35">
        <f>VLOOKUP($B14,'[1]Afgrødefordeling - jordtype'!$F$4:$I$17,MATCH(C$5,'[1]Afgrødefordeling - jordtype'!$F$3:$I$3,0),FALSE)*(Landbrug!$C$5)*Arealanvendelse!J$26</f>
        <v>343.36325185722677</v>
      </c>
      <c r="M14" s="35">
        <f>VLOOKUP($B14,'[1]Afgrødefordeling - jordtype'!$F$4:$I$17,MATCH(D$5,'[1]Afgrødefordeling - jordtype'!$F$3:$I$3,0),FALSE)*(Landbrug!$C$5)*Arealanvendelse!K$26</f>
        <v>10.444192731327741</v>
      </c>
      <c r="N14" s="35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404.88533087304182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11.509121205978582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6.4224703654426705</v>
      </c>
      <c r="R14" s="11">
        <f>IF(Landbrug!$E$47&gt;0,SUMIF(Landbrug!$B$32:$B$45,$B14,IF($R$4=År2,Landbrug!$D$32:$D$45,Landbrug!$E$32:$E$45)),'[1]Afgrødefordeling - jordtype'!$G12)*(Landbrug!$E$5)*Arealanvendelse!P$26</f>
        <v>515.41933900240667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14.919231192935195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8.325424547796052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47494.264779726094</v>
      </c>
      <c r="D15" s="35">
        <f>VLOOKUP($B15,'[1]Afgrødefordeling - jordtype'!$F$4:$I$17,MATCH(D$5,'[1]Afgrødefordeling - jordtype'!$F$3:$I$3,0),FALSE)*(1-Landbrug!$C$5)*Arealanvendelse!K$26</f>
        <v>1444.648640496996</v>
      </c>
      <c r="E15" s="35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45881.919721974475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1304.2225414898148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727.79932305426189</v>
      </c>
      <c r="I15" s="11">
        <f>IF(Landbrug!$E$47&gt;0,SUMIF(Landbrug!$B$32:$B$45,$B15,IF($I$4=År2,Landbrug!$D$32:$D$45,Landbrug!$E$32:$E$45)),'[1]Afgrødefordeling - jordtype'!$G13)*(1-Landbrug!$E$5)*Arealanvendelse!P$26</f>
        <v>42973.804999470703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1243.9116725191875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694.14386302863124</v>
      </c>
      <c r="L15" s="35">
        <f>VLOOKUP($B15,'[1]Afgrødefordeling - jordtype'!$F$4:$I$17,MATCH(C$5,'[1]Afgrødefordeling - jordtype'!$F$3:$I$3,0),FALSE)*(Landbrug!$C$5)*Arealanvendelse!J$26</f>
        <v>6072.6886145309409</v>
      </c>
      <c r="M15" s="35">
        <f>VLOOKUP($B15,'[1]Afgrødefordeling - jordtype'!$F$4:$I$17,MATCH(D$5,'[1]Afgrødefordeling - jordtype'!$F$3:$I$3,0),FALSE)*(Landbrug!$C$5)*Arealanvendelse!K$26</f>
        <v>184.71496278196111</v>
      </c>
      <c r="N15" s="35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7160.7620375335891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203.54918277586708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113.58717758650332</v>
      </c>
      <c r="R15" s="11">
        <f>IF(Landbrug!$E$47&gt;0,SUMIF(Landbrug!$B$32:$B$45,$B15,IF($R$4=År2,Landbrug!$D$32:$D$45,Landbrug!$E$32:$E$45)),'[1]Afgrødefordeling - jordtype'!$G13)*(Landbrug!$E$5)*Arealanvendelse!P$26</f>
        <v>9115.6556059483319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263.86005174649438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147.2426376121339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49959.789539022684</v>
      </c>
      <c r="D16" s="35">
        <f>VLOOKUP($B16,'[1]Afgrødefordeling - jordtype'!$F$4:$I$17,MATCH(D$5,'[1]Afgrødefordeling - jordtype'!$F$3:$I$3,0),FALSE)*(1-Landbrug!$C$5)*Arealanvendelse!K$26</f>
        <v>3565.8188704270801</v>
      </c>
      <c r="E16" s="35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48263.74434023608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3219.2058465377545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2315.6141162183199</v>
      </c>
      <c r="I16" s="11">
        <f>IF(Landbrug!$E$47&gt;0,SUMIF(Landbrug!$B$32:$B$45,$B16,IF($I$4=År2,Landbrug!$D$32:$D$45,Landbrug!$E$32:$E$45)),'[1]Afgrødefordeling - jordtype'!$G14)*(1-Landbrug!$E$5)*Arealanvendelse!P$26</f>
        <v>45204.663414034621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3070.3408362932341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2208.533694659091</v>
      </c>
      <c r="L16" s="35">
        <f>VLOOKUP($B16,'[1]Afgrødefordeling - jordtype'!$F$4:$I$17,MATCH(C$5,'[1]Afgrødefordeling - jordtype'!$F$3:$I$3,0),FALSE)*(Landbrug!$C$5)*Arealanvendelse!J$26</f>
        <v>6387.934343758774</v>
      </c>
      <c r="M16" s="35">
        <f>VLOOKUP($B16,'[1]Afgrødefordeling - jordtype'!$F$4:$I$17,MATCH(D$5,'[1]Afgrødefordeling - jordtype'!$F$3:$I$3,0),FALSE)*(Landbrug!$C$5)*Arealanvendelse!K$26</f>
        <v>455.9310004345117</v>
      </c>
      <c r="N16" s="35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7532.4918912507173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502.41940957525651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361.39642276239675</v>
      </c>
      <c r="R16" s="11">
        <f>IF(Landbrug!$E$47&gt;0,SUMIF(Landbrug!$B$32:$B$45,$B16,IF($R$4=År2,Landbrug!$D$32:$D$45,Landbrug!$E$32:$E$45)),'[1]Afgrødefordeling - jordtype'!$G14)*(Landbrug!$E$5)*Arealanvendelse!P$26</f>
        <v>9588.867996916435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651.28441981977687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468.47684432162538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13468.89657573873</v>
      </c>
      <c r="D17" s="35">
        <f>VLOOKUP($B17,'[1]Afgrødefordeling - jordtype'!$F$4:$I$17,MATCH(D$5,'[1]Afgrødefordeling - jordtype'!$F$3:$I$3,0),FALSE)*(1-Landbrug!$C$5)*Arealanvendelse!K$26</f>
        <v>409.68784794078073</v>
      </c>
      <c r="E17" s="35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13011.65170779564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369.86441635732047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206.39657978861854</v>
      </c>
      <c r="I17" s="11">
        <f>IF(Landbrug!$E$47&gt;0,SUMIF(Landbrug!$B$32:$B$45,$B17,IF($I$4=År2,Landbrug!$D$32:$D$45,Landbrug!$E$32:$E$45)),'[1]Afgrødefordeling - jordtype'!$G15)*(1-Landbrug!$E$5)*Arealanvendelse!P$26</f>
        <v>12186.939574458089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352.76085953154842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196.85222927816218</v>
      </c>
      <c r="L17" s="35">
        <f>VLOOKUP($B17,'[1]Afgrødefordeling - jordtype'!$F$4:$I$17,MATCH(C$5,'[1]Afgrødefordeling - jordtype'!$F$3:$I$3,0),FALSE)*(Landbrug!$C$5)*Arealanvendelse!J$26</f>
        <v>1722.1535119056764</v>
      </c>
      <c r="M17" s="35">
        <f>VLOOKUP($B17,'[1]Afgrødefordeling - jordtype'!$F$4:$I$17,MATCH(D$5,'[1]Afgrødefordeling - jordtype'!$F$3:$I$3,0),FALSE)*(Landbrug!$C$5)*Arealanvendelse!K$26</f>
        <v>52.383308621374375</v>
      </c>
      <c r="N17" s="35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2030.7202087311116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57.724504286980661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32.212182972790174</v>
      </c>
      <c r="R17" s="11">
        <f>IF(Landbrug!$E$47&gt;0,SUMIF(Landbrug!$B$32:$B$45,$B17,IF($R$4=År2,Landbrug!$D$32:$D$45,Landbrug!$E$32:$E$45)),'[1]Afgrødefordeling - jordtype'!$G15)*(Landbrug!$E$5)*Arealanvendelse!P$26</f>
        <v>2585.1083945820187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74.828061112752692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41.756533483246521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4954.292308391774</v>
      </c>
      <c r="D18" s="35">
        <f>VLOOKUP($B18,'[1]Afgrødefordeling - jordtype'!$F$4:$I$17,MATCH(D$5,'[1]Afgrødefordeling - jordtype'!$F$3:$I$3,0),FALSE)*(1-Landbrug!$C$5)*Arealanvendelse!K$26</f>
        <v>672.85851532837171</v>
      </c>
      <c r="E18" s="35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4786.1029753188222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607.45375610690382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487.2040481978043</v>
      </c>
      <c r="I18" s="11">
        <f>IF(Landbrug!$E$47&gt;0,SUMIF(Landbrug!$B$32:$B$45,$B18,IF($I$4=År2,Landbrug!$D$32:$D$45,Landbrug!$E$32:$E$45)),'[1]Afgrødefordeling - jordtype'!$G16)*(1-Landbrug!$E$5)*Arealanvendelse!P$26</f>
        <v>4482.7473918932728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579.36340900369441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464.67438122911972</v>
      </c>
      <c r="L18" s="35">
        <f>VLOOKUP($B18,'[1]Afgrødefordeling - jordtype'!$F$4:$I$17,MATCH(C$5,'[1]Afgrødefordeling - jordtype'!$F$3:$I$3,0),FALSE)*(Landbrug!$C$5)*Arealanvendelse!J$26</f>
        <v>633.46331675549425</v>
      </c>
      <c r="M18" s="35">
        <f>VLOOKUP($B18,'[1]Afgrødefordeling - jordtype'!$F$4:$I$17,MATCH(D$5,'[1]Afgrødefordeling - jordtype'!$F$3:$I$3,0),FALSE)*(Landbrug!$C$5)*Arealanvendelse!K$26</f>
        <v>86.032708668626768</v>
      </c>
      <c r="N18" s="35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746.96404817114581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94.804921473331831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76.037626019310508</v>
      </c>
      <c r="R18" s="11">
        <f>IF(Landbrug!$E$47&gt;0,SUMIF(Landbrug!$B$32:$B$45,$B18,IF($R$4=År2,Landbrug!$D$32:$D$45,Landbrug!$E$32:$E$45)),'[1]Afgrødefordeling - jordtype'!$G16)*(Landbrug!$E$5)*Arealanvendelse!P$26</f>
        <v>950.88581040160352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122.89526857654124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98.567292987995089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119415.94261463804</v>
      </c>
      <c r="D19" s="35">
        <f>VLOOKUP($B19,'[1]Afgrødefordeling - jordtype'!$F$4:$I$17,MATCH(D$5,'[1]Afgrødefordeling - jordtype'!$F$3:$I$3,0),FALSE)*(1-Landbrug!$C$5)*Arealanvendelse!K$26</f>
        <v>19018.389680733297</v>
      </c>
      <c r="E19" s="35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115361.98566247879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17169.719909137468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18019.370415242949</v>
      </c>
      <c r="I19" s="11">
        <f>IF(Landbrug!$E$47&gt;0,SUMIF(Landbrug!$B$32:$B$45,$B19,IF($I$4=År2,Landbrug!$D$32:$D$45,Landbrug!$E$32:$E$45)),'[1]Afgrødefordeling - jordtype'!$G17)*(1-Landbrug!$E$5)*Arealanvendelse!P$26</f>
        <v>108050.04468539612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16375.744422009724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17186.104731301079</v>
      </c>
      <c r="L19" s="35">
        <f>VLOOKUP($B19,'[1]Afgrødefordeling - jordtype'!$F$4:$I$17,MATCH(C$5,'[1]Afgrødefordeling - jordtype'!$F$3:$I$3,0),FALSE)*(Landbrug!$C$5)*Arealanvendelse!J$26</f>
        <v>15268.703252333511</v>
      </c>
      <c r="M19" s="35">
        <f>VLOOKUP($B19,'[1]Afgrødefordeling - jordtype'!$F$4:$I$17,MATCH(D$5,'[1]Afgrødefordeling - jordtype'!$F$3:$I$3,0),FALSE)*(Landbrug!$C$5)*Arealanvendelse!K$26</f>
        <v>2431.7201038177204</v>
      </c>
      <c r="N19" s="35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18004.47175079149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2679.6672690561372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2812.271683303813</v>
      </c>
      <c r="R19" s="11">
        <f>IF(Landbrug!$E$47&gt;0,SUMIF(Landbrug!$B$32:$B$45,$B19,IF($R$4=År2,Landbrug!$D$32:$D$45,Landbrug!$E$32:$E$45)),'[1]Afgrødefordeling - jordtype'!$G17)*(Landbrug!$E$5)*Arealanvendelse!P$26</f>
        <v>22919.706448417357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3473.6427561838809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3645.5373672456835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1643709.0153670528</v>
      </c>
      <c r="D20" s="37">
        <f t="shared" si="2"/>
        <v>77359.342508101181</v>
      </c>
      <c r="E20" s="37">
        <f t="shared" si="2"/>
        <v>60217.469135875617</v>
      </c>
      <c r="F20" s="38">
        <f t="shared" si="2"/>
        <v>1587908.0440371393</v>
      </c>
      <c r="G20" s="38">
        <f t="shared" si="2"/>
        <v>69839.679674074068</v>
      </c>
      <c r="H20" s="38">
        <f t="shared" si="2"/>
        <v>53116.064414814813</v>
      </c>
      <c r="I20" s="38">
        <f t="shared" si="2"/>
        <v>1487262.3258799945</v>
      </c>
      <c r="J20" s="38">
        <f t="shared" si="2"/>
        <v>66610.099111111107</v>
      </c>
      <c r="K20" s="39">
        <f t="shared" si="2"/>
        <v>50659.830222222219</v>
      </c>
      <c r="L20" s="36">
        <f t="shared" si="2"/>
        <v>210167.12374674503</v>
      </c>
      <c r="M20" s="37">
        <f t="shared" si="2"/>
        <v>9891.2826770840002</v>
      </c>
      <c r="N20" s="37">
        <f t="shared" si="2"/>
        <v>7699.4967900503034</v>
      </c>
      <c r="O20" s="38">
        <f t="shared" si="2"/>
        <v>247823.79878036276</v>
      </c>
      <c r="P20" s="38">
        <f t="shared" si="2"/>
        <v>10899.8344</v>
      </c>
      <c r="Q20" s="38">
        <f t="shared" si="2"/>
        <v>8289.7903999999999</v>
      </c>
      <c r="R20" s="38">
        <f t="shared" si="2"/>
        <v>315479.88730787759</v>
      </c>
      <c r="S20" s="38">
        <f t="shared" si="2"/>
        <v>14129.414962962959</v>
      </c>
      <c r="T20" s="39">
        <f t="shared" si="2"/>
        <v>10746.02459259259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44" t="s">
        <v>7</v>
      </c>
      <c r="D22" s="445"/>
      <c r="E22" s="446"/>
      <c r="F22" s="447" t="s">
        <v>8</v>
      </c>
      <c r="G22" s="445"/>
      <c r="H22" s="446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8065001.0864567999</v>
      </c>
      <c r="E24" s="23">
        <f>($F24+$C24)*Landbrug!E11*(1-Landbrug!E6)</f>
        <v>7721242.9104568008</v>
      </c>
      <c r="F24" s="34">
        <f>SUM([1]Dyrehold!E58:G61)</f>
        <v>475477</v>
      </c>
      <c r="G24" s="11">
        <f>($F24+$C24)*Landbrug!D11*Landbrug!D6</f>
        <v>528953.31354319979</v>
      </c>
      <c r="H24" s="23">
        <f>($F24+$C24)*Landbrug!E11*Landbrug!E6</f>
        <v>872711.48954319966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922303.28256640851</v>
      </c>
      <c r="E25" s="23">
        <f>($F25+$C25)*Landbrug!E12*(1-Landbrug!E7)</f>
        <v>877744.4345664084</v>
      </c>
      <c r="F25" s="34">
        <f>SUM([1]Dyrehold!E36:G51)</f>
        <v>207835</v>
      </c>
      <c r="G25" s="11">
        <f>($F25+$C25)*Landbrug!D12*Landbrug!D7</f>
        <v>191667.91743359147</v>
      </c>
      <c r="H25" s="23">
        <f>($F25+$C25)*Landbrug!E12*Landbrug!E7</f>
        <v>236226.76543359147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14232454.554315863</v>
      </c>
      <c r="E26" s="24">
        <f>($F26+$C26)*Landbrug!E13*(1-Landbrug!E8)</f>
        <v>13551675.866315866</v>
      </c>
      <c r="F26" s="47">
        <f>SUM([1]Dyrehold!E65:G78)</f>
        <v>3062300</v>
      </c>
      <c r="G26" s="16">
        <f>($F26+$C26)*Landbrug!D13*Landbrug!D8</f>
        <v>2787012.6456841351</v>
      </c>
      <c r="H26" s="24">
        <f>($F26+$C26)*Landbrug!E13*Landbrug!E8</f>
        <v>3467791.3336841348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1" t="s">
        <v>24</v>
      </c>
      <c r="B29" s="452"/>
      <c r="C29" s="452"/>
      <c r="D29" s="452"/>
      <c r="E29" s="452"/>
      <c r="F29" s="452"/>
      <c r="G29" s="452"/>
      <c r="H29" s="452"/>
      <c r="I29" s="452"/>
      <c r="J29" s="452"/>
      <c r="K29" s="452"/>
      <c r="L29" s="452"/>
      <c r="M29" s="452"/>
      <c r="N29" s="452"/>
      <c r="O29" s="452"/>
      <c r="P29" s="452"/>
      <c r="Q29" s="452"/>
      <c r="R29" s="452"/>
      <c r="S29" s="452"/>
      <c r="T29" s="452"/>
      <c r="U29" s="453"/>
    </row>
    <row r="30" spans="1:21" x14ac:dyDescent="0.25">
      <c r="A30" s="56"/>
      <c r="B30" s="53"/>
      <c r="C30" s="454" t="s">
        <v>7</v>
      </c>
      <c r="D30" s="455"/>
      <c r="E30" s="455"/>
      <c r="F30" s="455"/>
      <c r="G30" s="455"/>
      <c r="H30" s="455"/>
      <c r="I30" s="455"/>
      <c r="J30" s="455"/>
      <c r="K30" s="456"/>
      <c r="L30" s="454" t="s">
        <v>8</v>
      </c>
      <c r="M30" s="455"/>
      <c r="N30" s="455"/>
      <c r="O30" s="455"/>
      <c r="P30" s="455"/>
      <c r="Q30" s="455"/>
      <c r="R30" s="455"/>
      <c r="S30" s="455"/>
      <c r="T30" s="456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289324.40705334052</v>
      </c>
      <c r="D33" s="35">
        <f>VLOOKUP($B33,'[1]Afgrødefordeling - jordtype'!$O$4:$R$17,MATCH(D$5,'[1]Afgrødefordeling - jordtype'!$O$3:$R$3,0),FALSE)*(1-Landbrug!$C$5)*Arealanvendelse!K$36</f>
        <v>4501.5258539517936</v>
      </c>
      <c r="E33" s="35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280840.49563485396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4071.7505277200084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2192.9450163594229</v>
      </c>
      <c r="I33" s="11">
        <f>IF(Landbrug!$E$47&gt;0,SUMIF(Landbrug!$B$32:$B$45,$B33,IF($I$31=År2,Landbrug!$D$32:$D$45,Landbrug!$E$32:$E$45)),'[1]Afgrødefordeling - jordtype'!$P4)*(1-Landbrug!$E$5)*Arealanvendelse!P$36</f>
        <v>265383.49594764173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3883.4614859757307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2091.5371543312413</v>
      </c>
      <c r="L33" s="35">
        <f>VLOOKUP($B33,'[1]Afgrødefordeling - jordtype'!$O$4:$R$17,MATCH(C$5,'[1]Afgrødefordeling - jordtype'!$O$3:$R$3,0),FALSE)*(Landbrug!$C$5)*Arealanvendelse!J$36</f>
        <v>36993.456805099093</v>
      </c>
      <c r="M33" s="35">
        <f>VLOOKUP($B33,'[1]Afgrødefordeling - jordtype'!$O$4:$R$17,MATCH(D$5,'[1]Afgrødefordeling - jordtype'!$O$3:$R$3,0),FALSE)*(Landbrug!$C$5)*Arealanvendelse!K$36</f>
        <v>575.57191227389683</v>
      </c>
      <c r="N33" s="35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43830.597584630392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635.47551588693773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342.25153434511225</v>
      </c>
      <c r="R33" s="11">
        <f>IF(Landbrug!$E$47&gt;0,SUMIF(Landbrug!$B$32:$B$45,$B33,IF($R$31=År2,Landbrug!$D$32:$D$45,Landbrug!$E$32:$E$45)),'[1]Afgrødefordeling - jordtype'!$P4)*(Landbrug!$E$5)*Arealanvendelse!P$36</f>
        <v>56293.468837378547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823.76455763121555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443.65939637329359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6305.778237432175</v>
      </c>
      <c r="D34" s="35">
        <f>VLOOKUP($B34,'[1]Afgrødefordeling - jordtype'!$O$4:$R$17,MATCH(D$5,'[1]Afgrødefordeling - jordtype'!$O$3:$R$3,0),FALSE)*(1-Landbrug!$C$5)*Arealanvendelse!K$36</f>
        <v>121.72845469783576</v>
      </c>
      <c r="E34" s="35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6120.8727725395029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110.10664288850748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39.831112946175573</v>
      </c>
      <c r="I34" s="11">
        <f>IF(Landbrug!$E$47&gt;0,SUMIF(Landbrug!$B$32:$B$45,$B34,IF($I$31=År2,Landbrug!$D$32:$D$45,Landbrug!$E$32:$E$45)),'[1]Afgrødefordeling - jordtype'!$P5)*(1-Landbrug!$E$5)*Arealanvendelse!P$36</f>
        <v>5783.9899867548611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105.01500622314298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37.989211769473805</v>
      </c>
      <c r="L34" s="35">
        <f>VLOOKUP($B34,'[1]Afgrødefordeling - jordtype'!$O$4:$R$17,MATCH(C$5,'[1]Afgrødefordeling - jordtype'!$O$3:$R$3,0),FALSE)*(Landbrug!$C$5)*Arealanvendelse!J$36</f>
        <v>806.26635417583145</v>
      </c>
      <c r="M34" s="35">
        <f>VLOOKUP($B34,'[1]Afgrødefordeling - jordtype'!$O$4:$R$17,MATCH(D$5,'[1]Afgrødefordeling - jordtype'!$O$3:$R$3,0),FALSE)*(Landbrug!$C$5)*Arealanvendelse!K$36</f>
        <v>15.564384549090725</v>
      </c>
      <c r="N34" s="35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955.28072172581835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17.184273745605214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6.2164164713684418</v>
      </c>
      <c r="R34" s="11">
        <f>IF(Landbrug!$E$47&gt;0,SUMIF(Landbrug!$B$32:$B$45,$B34,IF($R$31=År2,Landbrug!$D$32:$D$45,Landbrug!$E$32:$E$45)),'[1]Afgrødefordeling - jordtype'!$P5)*(Landbrug!$E$5)*Arealanvendelse!P$36</f>
        <v>1226.9069668873949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22.275910410969718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8.0583176480702008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40000.111452135221</v>
      </c>
      <c r="D35" s="35">
        <f>VLOOKUP($B35,'[1]Afgrødefordeling - jordtype'!$O$4:$R$17,MATCH(D$5,'[1]Afgrødefordeling - jordtype'!$O$3:$R$3,0),FALSE)*(1-Landbrug!$C$5)*Arealanvendelse!K$36</f>
        <v>491.68024413286827</v>
      </c>
      <c r="E35" s="35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38827.181018281633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444.73793075296811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194.56566660813334</v>
      </c>
      <c r="I35" s="11">
        <f>IF(Landbrug!$E$47&gt;0,SUMIF(Landbrug!$B$32:$B$45,$B35,IF($I$31=År2,Landbrug!$D$32:$D$45,Landbrug!$E$32:$E$45)),'[1]Afgrødefordeling - jordtype'!$P6)*(1-Landbrug!$E$5)*Arealanvendelse!P$36</f>
        <v>36690.196736516154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424.17201487999847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185.5684103487977</v>
      </c>
      <c r="L35" s="35">
        <f>VLOOKUP($B35,'[1]Afgrødefordeling - jordtype'!$O$4:$R$17,MATCH(C$5,'[1]Afgrødefordeling - jordtype'!$O$3:$R$3,0),FALSE)*(Landbrug!$C$5)*Arealanvendelse!J$36</f>
        <v>5114.4748217902852</v>
      </c>
      <c r="M35" s="35">
        <f>VLOOKUP($B35,'[1]Afgrødefordeling - jordtype'!$O$4:$R$17,MATCH(D$5,'[1]Afgrødefordeling - jordtype'!$O$3:$R$3,0),FALSE)*(Landbrug!$C$5)*Arealanvendelse!K$36</f>
        <v>62.866980558250944</v>
      </c>
      <c r="N35" s="35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6059.733453720256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69.409966071272493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30.365739875257809</v>
      </c>
      <c r="R35" s="11">
        <f>IF(Landbrug!$E$47&gt;0,SUMIF(Landbrug!$B$32:$B$45,$B35,IF($R$31=År2,Landbrug!$D$32:$D$45,Landbrug!$E$32:$E$45)),'[1]Afgrødefordeling - jordtype'!$P6)*(Landbrug!$E$5)*Arealanvendelse!P$36</f>
        <v>7782.7690047155465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89.97588194424209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39.362996134593452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24301.063764662133</v>
      </c>
      <c r="D36" s="35">
        <f>VLOOKUP($B36,'[1]Afgrødefordeling - jordtype'!$O$4:$R$17,MATCH(D$5,'[1]Afgrødefordeling - jordtype'!$O$3:$R$3,0),FALSE)*(1-Landbrug!$C$5)*Arealanvendelse!K$36</f>
        <v>1445.7459335058077</v>
      </c>
      <c r="E36" s="35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23588.479318523863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1307.7158631741513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1429.782508866725</v>
      </c>
      <c r="I36" s="11">
        <f>IF(Landbrug!$E$47&gt;0,SUMIF(Landbrug!$B$32:$B$45,$B36,IF($I$31=År2,Landbrug!$D$32:$D$45,Landbrug!$E$32:$E$45)),'[1]Afgrødefordeling - jordtype'!$P7)*(1-Landbrug!$E$5)*Arealanvendelse!P$36</f>
        <v>22290.208153519605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1247.2434533163869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1363.6653986301135</v>
      </c>
      <c r="L36" s="35">
        <f>VLOOKUP($B36,'[1]Afgrødefordeling - jordtype'!$O$4:$R$17,MATCH(C$5,'[1]Afgrødefordeling - jordtype'!$O$3:$R$3,0),FALSE)*(Landbrug!$C$5)*Arealanvendelse!J$36</f>
        <v>3107.1708116565819</v>
      </c>
      <c r="M36" s="35">
        <f>VLOOKUP($B36,'[1]Afgrødefordeling - jordtype'!$O$4:$R$17,MATCH(D$5,'[1]Afgrødefordeling - jordtype'!$O$3:$R$3,0),FALSE)*(Landbrug!$C$5)*Arealanvendelse!K$36</f>
        <v>184.85526432768077</v>
      </c>
      <c r="N36" s="35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3681.4389687869621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204.09438326995422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223.14524704856404</v>
      </c>
      <c r="R36" s="11">
        <f>IF(Landbrug!$E$47&gt;0,SUMIF(Landbrug!$B$32:$B$45,$B36,IF($R$31=År2,Landbrug!$D$32:$D$45,Landbrug!$E$32:$E$45)),'[1]Afgrødefordeling - jordtype'!$P7)*(Landbrug!$E$5)*Arealanvendelse!P$36</f>
        <v>4728.2259719587037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264.56679312771843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289.2623572851756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3807.9830483618994</v>
      </c>
      <c r="D37" s="35">
        <f>VLOOKUP($B37,'[1]Afgrødefordeling - jordtype'!$O$4:$R$17,MATCH(D$5,'[1]Afgrødefordeling - jordtype'!$O$3:$R$3,0),FALSE)*(1-Landbrug!$C$5)*Arealanvendelse!K$36</f>
        <v>27.380862281417578</v>
      </c>
      <c r="E37" s="35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3696.3208792610235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24.766722231733471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6.7294128000446527</v>
      </c>
      <c r="I37" s="11">
        <f>IF(Landbrug!$E$47&gt;0,SUMIF(Landbrug!$B$32:$B$45,$B37,IF($I$31=År2,Landbrug!$D$32:$D$45,Landbrug!$E$32:$E$45)),'[1]Afgrødefordeling - jordtype'!$P8)*(1-Landbrug!$E$5)*Arealanvendelse!P$36</f>
        <v>3492.8814481155277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23.621440278820938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6.4182260809674432</v>
      </c>
      <c r="L37" s="35">
        <f>VLOOKUP($B37,'[1]Afgrødefordeling - jordtype'!$O$4:$R$17,MATCH(C$5,'[1]Afgrødefordeling - jordtype'!$O$3:$R$3,0),FALSE)*(Landbrug!$C$5)*Arealanvendelse!J$36</f>
        <v>486.89447893054626</v>
      </c>
      <c r="M37" s="35">
        <f>VLOOKUP($B37,'[1]Afgrødefordeling - jordtype'!$O$4:$R$17,MATCH(D$5,'[1]Afgrødefordeling - jordtype'!$O$3:$R$3,0),FALSE)*(Landbrug!$C$5)*Arealanvendelse!K$36</f>
        <v>3.5009585136978965</v>
      </c>
      <c r="N37" s="35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576.88244936443721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3.86532659107979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1.0502551768855817</v>
      </c>
      <c r="R37" s="11">
        <f>IF(Landbrug!$E$47&gt;0,SUMIF(Landbrug!$B$32:$B$45,$B37,IF($R$31=År2,Landbrug!$D$32:$D$45,Landbrug!$E$32:$E$45)),'[1]Afgrødefordeling - jordtype'!$P8)*(Landbrug!$E$5)*Arealanvendelse!P$36</f>
        <v>740.91424656996037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5.01060854399232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1.361441895962791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2442.8304745575424</v>
      </c>
      <c r="D38" s="35">
        <f>VLOOKUP($B38,'[1]Afgrødefordeling - jordtype'!$O$4:$R$17,MATCH(D$5,'[1]Afgrødefordeling - jordtype'!$O$3:$R$3,0),FALSE)*(1-Landbrug!$C$5)*Arealanvendelse!K$36</f>
        <v>46.549971840812717</v>
      </c>
      <c r="E38" s="35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2371.1989189359497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42.105694503961956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38.356850193560312</v>
      </c>
      <c r="I38" s="11">
        <f>IF(Landbrug!$E$47&gt;0,SUMIF(Landbrug!$B$32:$B$45,$B38,IF($I$31=År2,Landbrug!$D$32:$D$45,Landbrug!$E$32:$E$45)),'[1]Afgrødefordeling - jordtype'!$P9)*(1-Landbrug!$E$5)*Arealanvendelse!P$36</f>
        <v>2240.6920243890713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40.158610365050421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36.583123016979485</v>
      </c>
      <c r="L38" s="35">
        <f>VLOOKUP($B38,'[1]Afgrødefordeling - jordtype'!$O$4:$R$17,MATCH(C$5,'[1]Afgrødefordeling - jordtype'!$O$3:$R$3,0),FALSE)*(Landbrug!$C$5)*Arealanvendelse!J$36</f>
        <v>312.34400361551104</v>
      </c>
      <c r="M38" s="35">
        <f>VLOOKUP($B38,'[1]Afgrødefordeling - jordtype'!$O$4:$R$17,MATCH(D$5,'[1]Afgrødefordeling - jordtype'!$O$3:$R$3,0),FALSE)*(Landbrug!$C$5)*Arealanvendelse!K$36</f>
        <v>5.9519498894339895</v>
      </c>
      <c r="N38" s="35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370.07150757959914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6.5714089688264332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5.9863292209602808</v>
      </c>
      <c r="R38" s="11">
        <f>IF(Landbrug!$E$47&gt;0,SUMIF(Landbrug!$B$32:$B$45,$B38,IF($R$31=År2,Landbrug!$D$32:$D$45,Landbrug!$E$32:$E$45)),'[1]Afgrødefordeling - jordtype'!$P9)*(Landbrug!$E$5)*Arealanvendelse!P$36</f>
        <v>475.29830820374241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8.5184931077379673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7.7600563975411037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25394.708101233733</v>
      </c>
      <c r="D39" s="35">
        <f>VLOOKUP($B39,'[1]Afgrødefordeling - jordtype'!$O$4:$R$17,MATCH(D$5,'[1]Afgrødefordeling - jordtype'!$O$3:$R$3,0),FALSE)*(1-Landbrug!$C$5)*Arealanvendelse!K$36</f>
        <v>130.05082769586514</v>
      </c>
      <c r="E39" s="35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24650.054526295378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117.634451846188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44.171196265346403</v>
      </c>
      <c r="I39" s="11">
        <f>IF(Landbrug!$E$47&gt;0,SUMIF(Landbrug!$B$32:$B$45,$B39,IF($I$31=År2,Landbrug!$D$32:$D$45,Landbrug!$E$32:$E$45)),'[1]Afgrødefordeling - jordtype'!$P10)*(1-Landbrug!$E$5)*Arealanvendelse!P$36</f>
        <v>23293.356005160073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112.19470840821398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42.128597594116513</v>
      </c>
      <c r="L39" s="35">
        <f>VLOOKUP($B39,'[1]Afgrødefordeling - jordtype'!$O$4:$R$17,MATCH(C$5,'[1]Afgrødefordeling - jordtype'!$O$3:$R$3,0),FALSE)*(Landbrug!$C$5)*Arealanvendelse!J$36</f>
        <v>3247.0058326185153</v>
      </c>
      <c r="M39" s="35">
        <f>VLOOKUP($B39,'[1]Afgrødefordeling - jordtype'!$O$4:$R$17,MATCH(D$5,'[1]Afgrødefordeling - jordtype'!$O$3:$R$3,0),FALSE)*(Landbrug!$C$5)*Arealanvendelse!K$36</f>
        <v>16.628495763053266</v>
      </c>
      <c r="N39" s="35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3847.1183364738454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18.35913410316229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6.8937705154008846</v>
      </c>
      <c r="R39" s="11">
        <f>IF(Landbrug!$E$47&gt;0,SUMIF(Landbrug!$B$32:$B$45,$B39,IF($R$31=År2,Landbrug!$D$32:$D$45,Landbrug!$E$32:$E$45)),'[1]Afgrødefordeling - jordtype'!$P10)*(Landbrug!$E$5)*Arealanvendelse!P$36</f>
        <v>4941.0149101854695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23.798877541136303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8.9363691866307757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7182.5684723440072</v>
      </c>
      <c r="D40" s="35">
        <f>VLOOKUP($B40,'[1]Afgrødefordeling - jordtype'!$O$4:$R$17,MATCH(D$5,'[1]Afgrødefordeling - jordtype'!$O$3:$R$3,0),FALSE)*(1-Landbrug!$C$5)*Arealanvendelse!K$36</f>
        <v>138.65425138323147</v>
      </c>
      <c r="E40" s="35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6971.9527303221239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125.41647866904403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45.369450889867416</v>
      </c>
      <c r="I40" s="11">
        <f>IF(Landbrug!$E$47&gt;0,SUMIF(Landbrug!$B$32:$B$45,$B40,IF($I$31=År2,Landbrug!$D$32:$D$45,Landbrug!$E$32:$E$45)),'[1]Afgrødefordeling - jordtype'!$P11)*(1-Landbrug!$E$5)*Arealanvendelse!P$36</f>
        <v>6588.2279012933241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119.61687271903044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43.271441600162568</v>
      </c>
      <c r="L40" s="35">
        <f>VLOOKUP($B40,'[1]Afgrødefordeling - jordtype'!$O$4:$R$17,MATCH(C$5,'[1]Afgrødefordeling - jordtype'!$O$3:$R$3,0),FALSE)*(Landbrug!$C$5)*Arealanvendelse!J$36</f>
        <v>918.37408132089615</v>
      </c>
      <c r="M40" s="35">
        <f>VLOOKUP($B40,'[1]Afgrødefordeling - jordtype'!$O$4:$R$17,MATCH(D$5,'[1]Afgrødefordeling - jordtype'!$O$3:$R$3,0),FALSE)*(Landbrug!$C$5)*Arealanvendelse!K$36</f>
        <v>17.728542543744936</v>
      </c>
      <c r="N40" s="35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1088.1082295878459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19.573670081295891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7.080781352753875</v>
      </c>
      <c r="R40" s="11">
        <f>IF(Landbrug!$E$47&gt;0,SUMIF(Landbrug!$B$32:$B$45,$B40,IF($R$31=År2,Landbrug!$D$32:$D$45,Landbrug!$E$32:$E$45)),'[1]Afgrødefordeling - jordtype'!$P11)*(Landbrug!$E$5)*Arealanvendelse!P$36</f>
        <v>1397.5028881531293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25.373276031309484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9.1787906424587256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1671.2488811855812</v>
      </c>
      <c r="D41" s="35">
        <f>VLOOKUP($B41,'[1]Afgrødefordeling - jordtype'!$O$4:$R$17,MATCH(D$5,'[1]Afgrødefordeling - jordtype'!$O$3:$R$3,0),FALSE)*(1-Landbrug!$C$5)*Arealanvendelse!K$36</f>
        <v>29.910572274561464</v>
      </c>
      <c r="E41" s="35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1622.2425508499273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27.054912577351441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16.463460920750791</v>
      </c>
      <c r="I41" s="11">
        <f>IF(Landbrug!$E$47&gt;0,SUMIF(Landbrug!$B$32:$B$45,$B41,IF($I$31=År2,Landbrug!$D$32:$D$45,Landbrug!$E$32:$E$45)),'[1]Afgrødefordeling - jordtype'!$P12)*(1-Landbrug!$E$5)*Arealanvendelse!P$36</f>
        <v>1532.9569848763078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25.803818354121319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15.702144808808558</v>
      </c>
      <c r="L41" s="35">
        <f>VLOOKUP($B41,'[1]Afgrødefordeling - jordtype'!$O$4:$R$17,MATCH(C$5,'[1]Afgrødefordeling - jordtype'!$O$3:$R$3,0),FALSE)*(Landbrug!$C$5)*Arealanvendelse!J$36</f>
        <v>213.68841269347433</v>
      </c>
      <c r="M41" s="35">
        <f>VLOOKUP($B41,'[1]Afgrødefordeling - jordtype'!$O$4:$R$17,MATCH(D$5,'[1]Afgrødefordeling - jordtype'!$O$3:$R$3,0),FALSE)*(Landbrug!$C$5)*Arealanvendelse!K$36</f>
        <v>3.8244110641201035</v>
      </c>
      <c r="N41" s="35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253.1823634274453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4.2224430034016702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2.569441877805037</v>
      </c>
      <c r="R41" s="11">
        <f>IF(Landbrug!$E$47&gt;0,SUMIF(Landbrug!$B$32:$B$45,$B41,IF($R$31=År2,Landbrug!$D$32:$D$45,Landbrug!$E$32:$E$45)),'[1]Afgrødefordeling - jordtype'!$P12)*(Landbrug!$E$5)*Arealanvendelse!P$36</f>
        <v>325.17269376164109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5.4735372266317945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3.3307579897472701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11933.527586925724</v>
      </c>
      <c r="D42" s="35">
        <f>VLOOKUP($B42,'[1]Afgrødefordeling - jordtype'!$O$4:$R$17,MATCH(D$5,'[1]Afgrødefordeling - jordtype'!$O$3:$R$3,0),FALSE)*(1-Landbrug!$C$5)*Arealanvendelse!K$36</f>
        <v>213.57599301787013</v>
      </c>
      <c r="E42" s="35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11583.598619685576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193.18519775142676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117.55709594532664</v>
      </c>
      <c r="I42" s="11">
        <f>IF(Landbrug!$E$47&gt;0,SUMIF(Landbrug!$B$32:$B$45,$B42,IF($I$31=År2,Landbrug!$D$32:$D$45,Landbrug!$E$32:$E$45)),'[1]Afgrødefordeling - jordtype'!$P13)*(1-Landbrug!$E$5)*Arealanvendelse!P$36</f>
        <v>10946.056374089812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184.2517782022278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112.12092965883754</v>
      </c>
      <c r="L42" s="35">
        <f>VLOOKUP($B42,'[1]Afgrødefordeling - jordtype'!$O$4:$R$17,MATCH(C$5,'[1]Afgrødefordeling - jordtype'!$O$3:$R$3,0),FALSE)*(Landbrug!$C$5)*Arealanvendelse!J$36</f>
        <v>1525.8389080116776</v>
      </c>
      <c r="M42" s="35">
        <f>VLOOKUP($B42,'[1]Afgrødefordeling - jordtype'!$O$4:$R$17,MATCH(D$5,'[1]Afgrødefordeling - jordtype'!$O$3:$R$3,0),FALSE)*(Landbrug!$C$5)*Arealanvendelse!K$36</f>
        <v>27.308149881928532</v>
      </c>
      <c r="N42" s="35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1807.8448712804081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30.150290978546373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18.347061216900691</v>
      </c>
      <c r="R42" s="11">
        <f>IF(Landbrug!$E$47&gt;0,SUMIF(Landbrug!$B$32:$B$45,$B42,IF($R$31=År2,Landbrug!$D$32:$D$45,Landbrug!$E$32:$E$45)),'[1]Afgrødefordeling - jordtype'!$P13)*(Landbrug!$E$5)*Arealanvendelse!P$36</f>
        <v>2321.8907460190512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39.083710527745296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23.783227503389778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36921.98237863728</v>
      </c>
      <c r="D43" s="35">
        <f>VLOOKUP($B43,'[1]Afgrødefordeling - jordtype'!$O$4:$R$17,MATCH(D$5,'[1]Afgrødefordeling - jordtype'!$O$3:$R$3,0),FALSE)*(1-Landbrug!$C$5)*Arealanvendelse!K$36</f>
        <v>1550.5515811624623</v>
      </c>
      <c r="E43" s="35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35839.312475031358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1402.515374495272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1100.1201725977674</v>
      </c>
      <c r="I43" s="11">
        <f>IF(Landbrug!$E$47&gt;0,SUMIF(Landbrug!$B$32:$B$45,$B43,IF($I$31=År2,Landbrug!$D$32:$D$45,Landbrug!$E$32:$E$45)),'[1]Afgrødefordeling - jordtype'!$P14)*(1-Landbrug!$E$5)*Arealanvendelse!P$36</f>
        <v>33866.775571248349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1337.6591722064732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1049.2475634602984</v>
      </c>
      <c r="L43" s="35">
        <f>VLOOKUP($B43,'[1]Afgrødefordeling - jordtype'!$O$4:$R$17,MATCH(C$5,'[1]Afgrødefordeling - jordtype'!$O$3:$R$3,0),FALSE)*(Landbrug!$C$5)*Arealanvendelse!J$36</f>
        <v>4720.9005772918872</v>
      </c>
      <c r="M43" s="35">
        <f>VLOOKUP($B43,'[1]Afgrødefordeling - jordtype'!$O$4:$R$17,MATCH(D$5,'[1]Afgrødefordeling - jordtype'!$O$3:$R$3,0),FALSE)*(Landbrug!$C$5)*Arealanvendelse!K$36</f>
        <v>198.25587314255372</v>
      </c>
      <c r="N43" s="35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5593.4187099759929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218.88968272469563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171.6950558389579</v>
      </c>
      <c r="R43" s="11">
        <f>IF(Landbrug!$E$47&gt;0,SUMIF(Landbrug!$B$32:$B$45,$B43,IF($R$31=År2,Landbrug!$D$32:$D$45,Landbrug!$E$32:$E$45)),'[1]Afgrødefordeling - jordtype'!$P14)*(Landbrug!$E$5)*Arealanvendelse!P$36</f>
        <v>7183.8614848102561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283.74588501349433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222.56766497642693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2618.8374863482281</v>
      </c>
      <c r="D44" s="35">
        <f>VLOOKUP($B44,'[1]Afgrødefordeling - jordtype'!$O$4:$R$17,MATCH(D$5,'[1]Afgrødefordeling - jordtype'!$O$3:$R$3,0),FALSE)*(1-Landbrug!$C$5)*Arealanvendelse!K$36</f>
        <v>46.869696544048971</v>
      </c>
      <c r="E44" s="35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2542.0448455894616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42.39489404904166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25.798149575247876</v>
      </c>
      <c r="I44" s="11">
        <f>IF(Landbrug!$E$47&gt;0,SUMIF(Landbrug!$B$32:$B$45,$B44,IF($I$31=År2,Landbrug!$D$32:$D$45,Landbrug!$E$32:$E$45)),'[1]Afgrødefordeling - jordtype'!$P15)*(1-Landbrug!$E$5)*Arealanvendelse!P$36</f>
        <v>2402.1348718004842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40.434436520762276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24.605171560207509</v>
      </c>
      <c r="L44" s="35">
        <f>VLOOKUP($B44,'[1]Afgrødefordeling - jordtype'!$O$4:$R$17,MATCH(C$5,'[1]Afgrødefordeling - jordtype'!$O$3:$R$3,0),FALSE)*(Landbrug!$C$5)*Arealanvendelse!J$36</f>
        <v>334.84852666763254</v>
      </c>
      <c r="M44" s="35">
        <f>VLOOKUP($B44,'[1]Afgrødefordeling - jordtype'!$O$4:$R$17,MATCH(D$5,'[1]Afgrødefordeling - jordtype'!$O$3:$R$3,0),FALSE)*(Landbrug!$C$5)*Arealanvendelse!K$36</f>
        <v>5.9928303741437112</v>
      </c>
      <c r="N44" s="35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396.73532272205472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6.6165441579429185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4.0263008007612289</v>
      </c>
      <c r="R44" s="11">
        <f>IF(Landbrug!$E$47&gt;0,SUMIF(Landbrug!$B$32:$B$45,$B44,IF($R$31=År2,Landbrug!$D$32:$D$45,Landbrug!$E$32:$E$45)),'[1]Afgrødefordeling - jordtype'!$P15)*(Landbrug!$E$5)*Arealanvendelse!P$36</f>
        <v>509.54376068495122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8.5770016862223013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5.2192788158015926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1244.8278589023382</v>
      </c>
      <c r="D45" s="35">
        <f>VLOOKUP($B45,'[1]Afgrødefordeling - jordtype'!$O$4:$R$17,MATCH(D$5,'[1]Afgrødefordeling - jordtype'!$O$3:$R$3,0),FALSE)*(1-Landbrug!$C$5)*Arealanvendelse!K$36</f>
        <v>99.475001424808809</v>
      </c>
      <c r="E45" s="35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1208.3255485934653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89.977799236861017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78.695172178211379</v>
      </c>
      <c r="I45" s="11">
        <f>IF(Landbrug!$E$47&gt;0,SUMIF(Landbrug!$B$32:$B$45,$B45,IF($I$31=År2,Landbrug!$D$32:$D$45,Landbrug!$E$32:$E$45)),'[1]Afgrødefordeling - jordtype'!$P16)*(1-Landbrug!$E$5)*Arealanvendelse!P$36</f>
        <v>1141.8212946950407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85.816976150763395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75.056089071704491</v>
      </c>
      <c r="L45" s="35">
        <f>VLOOKUP($B45,'[1]Afgrødefordeling - jordtype'!$O$4:$R$17,MATCH(C$5,'[1]Afgrødefordeling - jordtype'!$O$3:$R$3,0),FALSE)*(Landbrug!$C$5)*Arealanvendelse!J$36</f>
        <v>159.16557506189815</v>
      </c>
      <c r="M45" s="35">
        <f>VLOOKUP($B45,'[1]Afgrødefordeling - jordtype'!$O$4:$R$17,MATCH(D$5,'[1]Afgrødefordeling - jordtype'!$O$3:$R$3,0),FALSE)*(Landbrug!$C$5)*Arealanvendelse!K$36</f>
        <v>12.71902431555799</v>
      </c>
      <c r="N45" s="35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188.58260006950039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14.042777915579466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12.281905484460736</v>
      </c>
      <c r="R45" s="11">
        <f>IF(Landbrug!$E$47&gt;0,SUMIF(Landbrug!$B$32:$B$45,$B45,IF($R$31=År2,Landbrug!$D$32:$D$45,Landbrug!$E$32:$E$45)),'[1]Afgrødefordeling - jordtype'!$P16)*(Landbrug!$E$5)*Arealanvendelse!P$36</f>
        <v>242.20451705652377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18.203601001677082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15.920988590967621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31005.186770121774</v>
      </c>
      <c r="D46" s="35">
        <f>VLOOKUP($B46,'[1]Afgrødefordeling - jordtype'!$O$4:$R$17,MATCH(D$5,'[1]Afgrødefordeling - jordtype'!$O$3:$R$3,0),FALSE)*(1-Landbrug!$C$5)*Arealanvendelse!K$36</f>
        <v>2905.4159151668305</v>
      </c>
      <c r="E46" s="35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30096.016124097267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2607.6878360294108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2736.7303190386051</v>
      </c>
      <c r="I46" s="11">
        <f>IF(Landbrug!$E$47&gt;0,SUMIF(Landbrug!$B$32:$B$45,$B46,IF($I$31=År2,Landbrug!$D$32:$D$45,Landbrug!$E$32:$E$45)),'[1]Afgrødefordeling - jordtype'!$P17)*(1-Landbrug!$E$5)*Arealanvendelse!P$36</f>
        <v>28439.580819904713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2487.1011152881665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2610.1763158460685</v>
      </c>
      <c r="L46" s="35">
        <f>VLOOKUP($B46,'[1]Afgrødefordeling - jordtype'!$O$4:$R$17,MATCH(C$5,'[1]Afgrødefordeling - jordtype'!$O$3:$R$3,0),FALSE)*(Landbrug!$C$5)*Arealanvendelse!J$36</f>
        <v>3964.3701310794295</v>
      </c>
      <c r="M46" s="35">
        <f>VLOOKUP($B46,'[1]Afgrødefordeling - jordtype'!$O$4:$R$17,MATCH(D$5,'[1]Afgrødefordeling - jordtype'!$O$3:$R$3,0),FALSE)*(Landbrug!$C$5)*Arealanvendelse!K$36</f>
        <v>371.49087853744766</v>
      </c>
      <c r="N46" s="35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4697.0661002926372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406.98018250170003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427.11976077481125</v>
      </c>
      <c r="R46" s="11">
        <f>IF(Landbrug!$E$47&gt;0,SUMIF(Landbrug!$B$32:$B$45,$B46,IF($R$31=År2,Landbrug!$D$32:$D$45,Landbrug!$E$32:$E$45)),'[1]Afgrødefordeling - jordtype'!$P17)*(Landbrug!$E$5)*Arealanvendelse!P$36</f>
        <v>6032.6383557373629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527.56690324294436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553.6737639673479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484155.06156618823</v>
      </c>
      <c r="D47" s="37">
        <f t="shared" si="3"/>
        <v>11749.115159080215</v>
      </c>
      <c r="E47" s="37">
        <f t="shared" si="3"/>
        <v>9145.6565752439074</v>
      </c>
      <c r="F47" s="38">
        <f t="shared" si="3"/>
        <v>469958.09596286045</v>
      </c>
      <c r="G47" s="38">
        <f t="shared" si="3"/>
        <v>10607.050325925928</v>
      </c>
      <c r="H47" s="38">
        <f t="shared" si="3"/>
        <v>8067.1155851851854</v>
      </c>
      <c r="I47" s="38">
        <f t="shared" si="3"/>
        <v>444092.37412000488</v>
      </c>
      <c r="J47" s="38">
        <f t="shared" si="3"/>
        <v>10116.550888888891</v>
      </c>
      <c r="K47" s="39">
        <f t="shared" si="3"/>
        <v>7694.0697777777787</v>
      </c>
      <c r="L47" s="36">
        <f t="shared" si="3"/>
        <v>61904.799320013248</v>
      </c>
      <c r="M47" s="37">
        <f t="shared" si="3"/>
        <v>1502.2596557346014</v>
      </c>
      <c r="N47" s="37">
        <f t="shared" si="3"/>
        <v>1169.3774988301655</v>
      </c>
      <c r="O47" s="38">
        <f t="shared" si="3"/>
        <v>73346.06121963718</v>
      </c>
      <c r="P47" s="38">
        <f t="shared" si="3"/>
        <v>1655.4356000000002</v>
      </c>
      <c r="Q47" s="38">
        <f t="shared" si="3"/>
        <v>1259.0296000000001</v>
      </c>
      <c r="R47" s="38">
        <f t="shared" si="3"/>
        <v>94201.412692122292</v>
      </c>
      <c r="S47" s="38">
        <f t="shared" si="3"/>
        <v>2145.9350370370366</v>
      </c>
      <c r="T47" s="39">
        <f t="shared" si="3"/>
        <v>1632.0754074074075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44" t="s">
        <v>7</v>
      </c>
      <c r="D49" s="445"/>
      <c r="E49" s="446"/>
      <c r="F49" s="447" t="s">
        <v>8</v>
      </c>
      <c r="G49" s="445"/>
      <c r="H49" s="446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174</v>
      </c>
      <c r="B3" s="77" t="s">
        <v>62</v>
      </c>
    </row>
    <row r="4" spans="1:37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238</v>
      </c>
      <c r="AG4" s="168" t="s">
        <v>231</v>
      </c>
      <c r="AH4" s="168" t="s">
        <v>110</v>
      </c>
      <c r="AI4" s="168" t="s">
        <v>115</v>
      </c>
      <c r="AJ4" s="168" t="s">
        <v>118</v>
      </c>
      <c r="AK4" s="168" t="s">
        <v>61</v>
      </c>
    </row>
    <row r="5" spans="1:37" x14ac:dyDescent="0.25">
      <c r="A5" s="78" t="s">
        <v>109</v>
      </c>
      <c r="B5" s="237"/>
      <c r="C5" s="237"/>
      <c r="D5" s="237">
        <v>1462906</v>
      </c>
      <c r="E5" s="237">
        <v>3223493.7051022411</v>
      </c>
      <c r="F5" s="237"/>
      <c r="G5" s="237">
        <v>11794.123272219724</v>
      </c>
      <c r="H5" s="237"/>
      <c r="I5" s="237"/>
      <c r="J5" s="237">
        <v>428226</v>
      </c>
      <c r="K5" s="237">
        <v>257031</v>
      </c>
      <c r="L5" s="237"/>
      <c r="M5" s="237">
        <v>227802</v>
      </c>
      <c r="N5" s="237">
        <v>234</v>
      </c>
      <c r="O5" s="237"/>
      <c r="P5" s="237">
        <v>2444654</v>
      </c>
      <c r="Q5" s="237"/>
      <c r="R5" s="237">
        <v>11358</v>
      </c>
      <c r="S5" s="237">
        <v>21101993.732983526</v>
      </c>
      <c r="T5" s="237"/>
      <c r="U5" s="237">
        <v>990078</v>
      </c>
      <c r="V5" s="237"/>
      <c r="W5" s="237"/>
      <c r="X5" s="237"/>
      <c r="Y5" s="237">
        <v>85935</v>
      </c>
      <c r="Z5" s="237"/>
      <c r="AA5" s="237">
        <v>8315241.6371112876</v>
      </c>
      <c r="AB5" s="237">
        <v>17238701.15594501</v>
      </c>
      <c r="AC5" s="237"/>
      <c r="AD5" s="237"/>
      <c r="AE5" s="237"/>
      <c r="AF5" s="237"/>
      <c r="AG5" s="237"/>
      <c r="AH5" s="237"/>
      <c r="AI5" s="237"/>
      <c r="AJ5" s="237"/>
      <c r="AK5" s="237">
        <v>55799448.354414292</v>
      </c>
    </row>
    <row r="6" spans="1:37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85676.999999999985</v>
      </c>
      <c r="L6" s="237"/>
      <c r="M6" s="237">
        <v>75934</v>
      </c>
      <c r="N6" s="237">
        <v>78</v>
      </c>
      <c r="O6" s="237"/>
      <c r="P6" s="237">
        <v>995654</v>
      </c>
      <c r="Q6" s="237"/>
      <c r="R6" s="237">
        <v>3785.9999999999991</v>
      </c>
      <c r="S6" s="237">
        <v>4353509.666666667</v>
      </c>
      <c r="T6" s="237"/>
      <c r="U6" s="237">
        <v>330026</v>
      </c>
      <c r="V6" s="237"/>
      <c r="W6" s="237"/>
      <c r="X6" s="237"/>
      <c r="Y6" s="237">
        <v>28645.000000000004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/>
      <c r="AI6" s="237"/>
      <c r="AJ6" s="237"/>
      <c r="AK6" s="237">
        <v>13090417.500000002</v>
      </c>
    </row>
    <row r="7" spans="1:37" x14ac:dyDescent="0.25">
      <c r="A7" s="79">
        <v>2030</v>
      </c>
      <c r="B7" s="237"/>
      <c r="C7" s="237"/>
      <c r="D7" s="237">
        <v>363995</v>
      </c>
      <c r="E7" s="237">
        <v>1204392.371220411</v>
      </c>
      <c r="F7" s="237"/>
      <c r="G7" s="237">
        <v>3617.1712242793342</v>
      </c>
      <c r="H7" s="237"/>
      <c r="I7" s="237"/>
      <c r="J7" s="237">
        <v>142742</v>
      </c>
      <c r="K7" s="237">
        <v>85677.000000000029</v>
      </c>
      <c r="L7" s="237"/>
      <c r="M7" s="237">
        <v>75934.000000000015</v>
      </c>
      <c r="N7" s="237">
        <v>78</v>
      </c>
      <c r="O7" s="237"/>
      <c r="P7" s="237">
        <v>725968.00000000012</v>
      </c>
      <c r="Q7" s="237"/>
      <c r="R7" s="237">
        <v>3786.0000000000009</v>
      </c>
      <c r="S7" s="237">
        <v>8455021.8174732123</v>
      </c>
      <c r="T7" s="237"/>
      <c r="U7" s="237">
        <v>330026</v>
      </c>
      <c r="V7" s="237"/>
      <c r="W7" s="237"/>
      <c r="X7" s="237"/>
      <c r="Y7" s="237">
        <v>28644.999999999996</v>
      </c>
      <c r="Z7" s="237"/>
      <c r="AA7" s="237">
        <v>2765437.867297628</v>
      </c>
      <c r="AB7" s="237">
        <v>7317872.3979037404</v>
      </c>
      <c r="AC7" s="237"/>
      <c r="AD7" s="237"/>
      <c r="AE7" s="237"/>
      <c r="AF7" s="237"/>
      <c r="AG7" s="237"/>
      <c r="AH7" s="237"/>
      <c r="AI7" s="237"/>
      <c r="AJ7" s="237"/>
      <c r="AK7" s="237">
        <v>21503192.625119273</v>
      </c>
    </row>
    <row r="8" spans="1:37" x14ac:dyDescent="0.25">
      <c r="A8" s="79">
        <v>2050</v>
      </c>
      <c r="B8" s="237"/>
      <c r="C8" s="237"/>
      <c r="D8" s="237">
        <v>369777</v>
      </c>
      <c r="E8" s="237">
        <v>1262014.3338818299</v>
      </c>
      <c r="F8" s="237"/>
      <c r="G8" s="237">
        <v>3735.45204794039</v>
      </c>
      <c r="H8" s="237"/>
      <c r="I8" s="237"/>
      <c r="J8" s="237">
        <v>142742</v>
      </c>
      <c r="K8" s="237">
        <v>85676.999999999985</v>
      </c>
      <c r="L8" s="237"/>
      <c r="M8" s="237">
        <v>75934.000000000015</v>
      </c>
      <c r="N8" s="237">
        <v>78</v>
      </c>
      <c r="O8" s="237"/>
      <c r="P8" s="237">
        <v>723032.00000000012</v>
      </c>
      <c r="Q8" s="237"/>
      <c r="R8" s="237">
        <v>3786</v>
      </c>
      <c r="S8" s="237">
        <v>8293462.2488436466</v>
      </c>
      <c r="T8" s="237"/>
      <c r="U8" s="237">
        <v>330026</v>
      </c>
      <c r="V8" s="237"/>
      <c r="W8" s="237"/>
      <c r="X8" s="237"/>
      <c r="Y8" s="237">
        <v>28645.000000000007</v>
      </c>
      <c r="Z8" s="237"/>
      <c r="AA8" s="237">
        <v>2880969.7698136596</v>
      </c>
      <c r="AB8" s="237">
        <v>7005959.4247079371</v>
      </c>
      <c r="AC8" s="237"/>
      <c r="AD8" s="237"/>
      <c r="AE8" s="237"/>
      <c r="AF8" s="237"/>
      <c r="AG8" s="237"/>
      <c r="AH8" s="237"/>
      <c r="AI8" s="237"/>
      <c r="AJ8" s="237"/>
      <c r="AK8" s="237">
        <v>21205838.229295015</v>
      </c>
    </row>
    <row r="9" spans="1:37" x14ac:dyDescent="0.25">
      <c r="A9" s="78" t="s">
        <v>112</v>
      </c>
      <c r="B9" s="237"/>
      <c r="C9" s="237">
        <v>188279.23979522343</v>
      </c>
      <c r="D9" s="237"/>
      <c r="E9" s="237"/>
      <c r="F9" s="237"/>
      <c r="G9" s="237"/>
      <c r="H9" s="237"/>
      <c r="I9" s="237"/>
      <c r="J9" s="237"/>
      <c r="K9" s="237">
        <v>35723370.761702038</v>
      </c>
      <c r="L9" s="237"/>
      <c r="M9" s="237">
        <v>2256735.8881010804</v>
      </c>
      <c r="N9" s="237"/>
      <c r="O9" s="237">
        <v>14094793.090225756</v>
      </c>
      <c r="P9" s="237"/>
      <c r="Q9" s="237">
        <v>0</v>
      </c>
      <c r="R9" s="237">
        <v>17162175.705222934</v>
      </c>
      <c r="S9" s="237"/>
      <c r="T9" s="237">
        <v>4424562.1351877507</v>
      </c>
      <c r="U9" s="237">
        <v>16513658.323706053</v>
      </c>
      <c r="V9" s="237"/>
      <c r="W9" s="237"/>
      <c r="X9" s="237"/>
      <c r="Y9" s="237">
        <v>2455475.0856627058</v>
      </c>
      <c r="Z9" s="237">
        <v>115059.53543041431</v>
      </c>
      <c r="AA9" s="237"/>
      <c r="AB9" s="237"/>
      <c r="AC9" s="237"/>
      <c r="AD9" s="237"/>
      <c r="AE9" s="237"/>
      <c r="AF9" s="237">
        <v>624982.47654247773</v>
      </c>
      <c r="AG9" s="237"/>
      <c r="AH9" s="237"/>
      <c r="AI9" s="237"/>
      <c r="AJ9" s="237"/>
      <c r="AK9" s="237">
        <v>93559092.241576418</v>
      </c>
    </row>
    <row r="10" spans="1:37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240377.87559326066</v>
      </c>
      <c r="AG10" s="237"/>
      <c r="AH10" s="237"/>
      <c r="AI10" s="237"/>
      <c r="AJ10" s="237"/>
      <c r="AK10" s="237">
        <v>35984266.24676016</v>
      </c>
    </row>
    <row r="11" spans="1:37" x14ac:dyDescent="0.25">
      <c r="A11" s="79">
        <v>2030</v>
      </c>
      <c r="B11" s="237"/>
      <c r="C11" s="237">
        <v>57932.073783145664</v>
      </c>
      <c r="D11" s="237"/>
      <c r="E11" s="237"/>
      <c r="F11" s="237"/>
      <c r="G11" s="237"/>
      <c r="H11" s="237"/>
      <c r="I11" s="237"/>
      <c r="J11" s="237"/>
      <c r="K11" s="237">
        <v>10991806.388216011</v>
      </c>
      <c r="L11" s="237"/>
      <c r="M11" s="237">
        <v>694380.27326187096</v>
      </c>
      <c r="N11" s="237"/>
      <c r="O11" s="237">
        <v>4336859.4123771554</v>
      </c>
      <c r="P11" s="237"/>
      <c r="Q11" s="237">
        <v>0</v>
      </c>
      <c r="R11" s="237">
        <v>5280669.4477609023</v>
      </c>
      <c r="S11" s="237"/>
      <c r="T11" s="237">
        <v>1361403.7339039231</v>
      </c>
      <c r="U11" s="237">
        <v>5081125.638063401</v>
      </c>
      <c r="V11" s="237"/>
      <c r="W11" s="237"/>
      <c r="X11" s="237"/>
      <c r="Y11" s="237">
        <v>755530.79558852478</v>
      </c>
      <c r="Z11" s="237">
        <v>35402.933978589019</v>
      </c>
      <c r="AA11" s="237"/>
      <c r="AB11" s="237"/>
      <c r="AC11" s="237"/>
      <c r="AD11" s="237"/>
      <c r="AE11" s="237"/>
      <c r="AF11" s="237">
        <v>192302.30047460849</v>
      </c>
      <c r="AG11" s="237"/>
      <c r="AH11" s="237"/>
      <c r="AI11" s="237"/>
      <c r="AJ11" s="237"/>
      <c r="AK11" s="237">
        <v>28787412.997408129</v>
      </c>
    </row>
    <row r="12" spans="1:37" x14ac:dyDescent="0.25">
      <c r="A12" s="79">
        <v>2050</v>
      </c>
      <c r="B12" s="237"/>
      <c r="C12" s="237">
        <v>57932.073783145672</v>
      </c>
      <c r="D12" s="237"/>
      <c r="E12" s="237"/>
      <c r="F12" s="237"/>
      <c r="G12" s="237"/>
      <c r="H12" s="237"/>
      <c r="I12" s="237"/>
      <c r="J12" s="237"/>
      <c r="K12" s="237">
        <v>10991806.388216011</v>
      </c>
      <c r="L12" s="237"/>
      <c r="M12" s="237">
        <v>694380.27326187096</v>
      </c>
      <c r="N12" s="237"/>
      <c r="O12" s="237">
        <v>4336859.4123771554</v>
      </c>
      <c r="P12" s="237"/>
      <c r="Q12" s="237">
        <v>0</v>
      </c>
      <c r="R12" s="237">
        <v>5280669.4477609023</v>
      </c>
      <c r="S12" s="237"/>
      <c r="T12" s="237">
        <v>1361403.7339039231</v>
      </c>
      <c r="U12" s="237">
        <v>5081125.638063401</v>
      </c>
      <c r="V12" s="237"/>
      <c r="W12" s="237"/>
      <c r="X12" s="237"/>
      <c r="Y12" s="237">
        <v>755530.79558852478</v>
      </c>
      <c r="Z12" s="237">
        <v>35402.933978589019</v>
      </c>
      <c r="AA12" s="237"/>
      <c r="AB12" s="237"/>
      <c r="AC12" s="237"/>
      <c r="AD12" s="237"/>
      <c r="AE12" s="237"/>
      <c r="AF12" s="237">
        <v>192302.30047460849</v>
      </c>
      <c r="AG12" s="237"/>
      <c r="AH12" s="237"/>
      <c r="AI12" s="237"/>
      <c r="AJ12" s="237"/>
      <c r="AK12" s="237">
        <v>28787412.997408129</v>
      </c>
    </row>
    <row r="13" spans="1:37" x14ac:dyDescent="0.25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>
        <v>9638396.1067842171</v>
      </c>
    </row>
    <row r="14" spans="1:37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>
        <v>3083197.0190696353</v>
      </c>
    </row>
    <row r="15" spans="1:37" x14ac:dyDescent="0.25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>
        <v>3209159.2069397997</v>
      </c>
    </row>
    <row r="16" spans="1:37" x14ac:dyDescent="0.25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>
        <v>3346039.8807747816</v>
      </c>
    </row>
    <row r="17" spans="1:37" x14ac:dyDescent="0.25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6075820.2462235913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652261.37250543782</v>
      </c>
      <c r="AE17" s="237">
        <v>8445344.7369239964</v>
      </c>
      <c r="AF17" s="237"/>
      <c r="AG17" s="237">
        <v>577039.41724414949</v>
      </c>
      <c r="AH17" s="237"/>
      <c r="AI17" s="237"/>
      <c r="AJ17" s="237"/>
      <c r="AK17" s="237">
        <v>18698658.772897176</v>
      </c>
    </row>
    <row r="18" spans="1:37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1893765.2125355615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209782.38739500003</v>
      </c>
      <c r="AE18" s="237">
        <v>3010238.4923246857</v>
      </c>
      <c r="AF18" s="237"/>
      <c r="AG18" s="237">
        <v>112887.06079513082</v>
      </c>
      <c r="AH18" s="237"/>
      <c r="AI18" s="237"/>
      <c r="AJ18" s="237"/>
      <c r="AK18" s="237">
        <v>6209404.1530503789</v>
      </c>
    </row>
    <row r="19" spans="1:37" x14ac:dyDescent="0.25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2142228.3524030885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216936.14364827855</v>
      </c>
      <c r="AE19" s="237">
        <v>2848752.9835421797</v>
      </c>
      <c r="AF19" s="237"/>
      <c r="AG19" s="237">
        <v>227903.51886082417</v>
      </c>
      <c r="AH19" s="237"/>
      <c r="AI19" s="237"/>
      <c r="AJ19" s="237"/>
      <c r="AK19" s="237">
        <v>6418551.9984543715</v>
      </c>
    </row>
    <row r="20" spans="1:37" x14ac:dyDescent="0.25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2039826.6812849408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225542.84146215921</v>
      </c>
      <c r="AE20" s="237">
        <v>2586353.261057131</v>
      </c>
      <c r="AF20" s="237"/>
      <c r="AG20" s="237">
        <v>236248.83758819452</v>
      </c>
      <c r="AH20" s="237"/>
      <c r="AI20" s="237"/>
      <c r="AJ20" s="237"/>
      <c r="AK20" s="237">
        <v>6070702.6213924251</v>
      </c>
    </row>
    <row r="21" spans="1:37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>
        <v>104203.4407339669</v>
      </c>
      <c r="AH21" s="237"/>
      <c r="AI21" s="237"/>
      <c r="AJ21" s="237">
        <v>2323859.5027345954</v>
      </c>
      <c r="AK21" s="237">
        <v>2428062.9434685623</v>
      </c>
    </row>
    <row r="22" spans="1:37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>
        <v>104203.4407339669</v>
      </c>
      <c r="AH22" s="237"/>
      <c r="AI22" s="237"/>
      <c r="AJ22" s="237">
        <v>827693.20492220437</v>
      </c>
      <c r="AK22" s="237">
        <v>931896.64565617125</v>
      </c>
    </row>
    <row r="23" spans="1:37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>
        <v>0</v>
      </c>
      <c r="AH23" s="237"/>
      <c r="AI23" s="237"/>
      <c r="AJ23" s="237">
        <v>783291.25515859458</v>
      </c>
      <c r="AK23" s="237">
        <v>783291.25515859458</v>
      </c>
    </row>
    <row r="24" spans="1:37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>
        <v>0</v>
      </c>
      <c r="AH24" s="237"/>
      <c r="AI24" s="237"/>
      <c r="AJ24" s="237">
        <v>712875.04265379638</v>
      </c>
      <c r="AK24" s="237">
        <v>712875.04265379638</v>
      </c>
    </row>
    <row r="25" spans="1:37" x14ac:dyDescent="0.25">
      <c r="A25" s="78" t="s">
        <v>114</v>
      </c>
      <c r="B25" s="237"/>
      <c r="C25" s="237"/>
      <c r="D25" s="237"/>
      <c r="E25" s="237">
        <v>1757476.1026458484</v>
      </c>
      <c r="F25" s="237"/>
      <c r="G25" s="237">
        <v>11794.123272219724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14985485.301643921</v>
      </c>
      <c r="T25" s="237"/>
      <c r="U25" s="237"/>
      <c r="V25" s="237"/>
      <c r="W25" s="237"/>
      <c r="X25" s="237"/>
      <c r="Y25" s="237"/>
      <c r="Z25" s="237"/>
      <c r="AA25" s="237"/>
      <c r="AB25" s="237">
        <v>27444396.622567583</v>
      </c>
      <c r="AC25" s="237"/>
      <c r="AD25" s="237"/>
      <c r="AE25" s="237"/>
      <c r="AF25" s="237"/>
      <c r="AG25" s="237"/>
      <c r="AH25" s="237">
        <v>42029043.134376839</v>
      </c>
      <c r="AI25" s="237">
        <v>3317271.1680090777</v>
      </c>
      <c r="AJ25" s="237"/>
      <c r="AK25" s="237">
        <v>89545466.452515498</v>
      </c>
    </row>
    <row r="26" spans="1:37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>
        <v>8803491.7355084848</v>
      </c>
      <c r="AI26" s="237">
        <v>944815.08868008247</v>
      </c>
      <c r="AJ26" s="237"/>
      <c r="AK26" s="237">
        <v>35015134.317045711</v>
      </c>
    </row>
    <row r="27" spans="1:37" x14ac:dyDescent="0.25">
      <c r="A27" s="79">
        <v>2030</v>
      </c>
      <c r="B27" s="237"/>
      <c r="C27" s="237"/>
      <c r="D27" s="237"/>
      <c r="E27" s="237">
        <v>455948.54053344129</v>
      </c>
      <c r="F27" s="237"/>
      <c r="G27" s="237">
        <v>3617.1712242793342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2670006.8897283827</v>
      </c>
      <c r="T27" s="237"/>
      <c r="U27" s="237"/>
      <c r="V27" s="237"/>
      <c r="W27" s="237"/>
      <c r="X27" s="237"/>
      <c r="Y27" s="237"/>
      <c r="Z27" s="237"/>
      <c r="AA27" s="237"/>
      <c r="AB27" s="237">
        <v>6489434.013235392</v>
      </c>
      <c r="AC27" s="237"/>
      <c r="AD27" s="237"/>
      <c r="AE27" s="237"/>
      <c r="AF27" s="237"/>
      <c r="AG27" s="237"/>
      <c r="AH27" s="237">
        <v>16819605.005375024</v>
      </c>
      <c r="AI27" s="237">
        <v>1205503.2861523256</v>
      </c>
      <c r="AJ27" s="237"/>
      <c r="AK27" s="237">
        <v>27644114.906248845</v>
      </c>
    </row>
    <row r="28" spans="1:37" x14ac:dyDescent="0.25">
      <c r="A28" s="79">
        <v>2050</v>
      </c>
      <c r="B28" s="237"/>
      <c r="C28" s="237"/>
      <c r="D28" s="237"/>
      <c r="E28" s="237">
        <v>477762.56925526413</v>
      </c>
      <c r="F28" s="237"/>
      <c r="G28" s="237">
        <v>3735.45204794039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2618988.0785822044</v>
      </c>
      <c r="T28" s="237"/>
      <c r="U28" s="237"/>
      <c r="V28" s="237"/>
      <c r="W28" s="237"/>
      <c r="X28" s="237"/>
      <c r="Y28" s="237"/>
      <c r="Z28" s="237"/>
      <c r="AA28" s="237"/>
      <c r="AB28" s="237">
        <v>6212831.9426655285</v>
      </c>
      <c r="AC28" s="237"/>
      <c r="AD28" s="237"/>
      <c r="AE28" s="237"/>
      <c r="AF28" s="237"/>
      <c r="AG28" s="237"/>
      <c r="AH28" s="237">
        <v>16405946.393493332</v>
      </c>
      <c r="AI28" s="237">
        <v>1166952.7931766696</v>
      </c>
      <c r="AJ28" s="237"/>
      <c r="AK28" s="237">
        <v>26886217.229220938</v>
      </c>
    </row>
    <row r="29" spans="1:37" x14ac:dyDescent="0.25">
      <c r="A29" s="78" t="s">
        <v>237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>
        <v>2128883.9311816138</v>
      </c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>
        <v>2128883.9311816138</v>
      </c>
    </row>
    <row r="30" spans="1:37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>
        <v>678407.81727843033</v>
      </c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>
        <v>678407.81727843033</v>
      </c>
    </row>
    <row r="31" spans="1:37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>
        <v>712198.49644007557</v>
      </c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>
        <v>712198.49644007557</v>
      </c>
    </row>
    <row r="32" spans="1:37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>
        <v>738277.61746310792</v>
      </c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>
        <v>738277.61746310792</v>
      </c>
    </row>
    <row r="33" spans="1:37" x14ac:dyDescent="0.25">
      <c r="A33" s="78" t="s">
        <v>61</v>
      </c>
      <c r="B33" s="237">
        <v>182574.19618217932</v>
      </c>
      <c r="C33" s="237">
        <v>188279.23979522343</v>
      </c>
      <c r="D33" s="237">
        <v>1462906</v>
      </c>
      <c r="E33" s="237">
        <v>4980969.8077480895</v>
      </c>
      <c r="F33" s="237">
        <v>281468.55244752642</v>
      </c>
      <c r="G33" s="237">
        <v>23588.246544439447</v>
      </c>
      <c r="H33" s="237">
        <v>197788.71253069426</v>
      </c>
      <c r="I33" s="237">
        <v>1445379.0531089196</v>
      </c>
      <c r="J33" s="237">
        <v>428226</v>
      </c>
      <c r="K33" s="237">
        <v>35980401.761702038</v>
      </c>
      <c r="L33" s="237">
        <v>1513844.376677237</v>
      </c>
      <c r="M33" s="237">
        <v>8560358.1343246717</v>
      </c>
      <c r="N33" s="237">
        <v>2948427</v>
      </c>
      <c r="O33" s="237">
        <v>14094793.090225756</v>
      </c>
      <c r="P33" s="237">
        <v>2444654</v>
      </c>
      <c r="Q33" s="237">
        <v>692260.49385742994</v>
      </c>
      <c r="R33" s="237">
        <v>18831915.987211064</v>
      </c>
      <c r="S33" s="237">
        <v>36087479.034627445</v>
      </c>
      <c r="T33" s="237">
        <v>4424562.1351877507</v>
      </c>
      <c r="U33" s="237">
        <v>17503736.323706053</v>
      </c>
      <c r="V33" s="237">
        <v>2647325.8446415998</v>
      </c>
      <c r="W33" s="237">
        <v>336392.95646566537</v>
      </c>
      <c r="X33" s="237">
        <v>2128883.9311816138</v>
      </c>
      <c r="Y33" s="237">
        <v>2541410.0856627058</v>
      </c>
      <c r="Z33" s="237">
        <v>115059.53543041431</v>
      </c>
      <c r="AA33" s="237">
        <v>8315241.6371112876</v>
      </c>
      <c r="AB33" s="237">
        <v>44683097.778512597</v>
      </c>
      <c r="AC33" s="237">
        <v>682979.63888483576</v>
      </c>
      <c r="AD33" s="237">
        <v>652261.37250543782</v>
      </c>
      <c r="AE33" s="237">
        <v>8445344.7369239964</v>
      </c>
      <c r="AF33" s="237">
        <v>624982.47654247773</v>
      </c>
      <c r="AG33" s="237">
        <v>681242.85797811637</v>
      </c>
      <c r="AH33" s="237">
        <v>42029043.134376839</v>
      </c>
      <c r="AI33" s="237">
        <v>3317271.1680090777</v>
      </c>
      <c r="AJ33" s="237">
        <v>2323859.5027345954</v>
      </c>
      <c r="AK33" s="237">
        <v>271798008.80283779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281</v>
      </c>
      <c r="B2" s="78">
        <v>1</v>
      </c>
    </row>
    <row r="4" spans="1:10" x14ac:dyDescent="0.25">
      <c r="A4" s="77" t="s">
        <v>308</v>
      </c>
      <c r="B4" s="77" t="s">
        <v>62</v>
      </c>
    </row>
    <row r="5" spans="1:10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14</v>
      </c>
      <c r="G5" s="168" t="s">
        <v>158</v>
      </c>
      <c r="H5" s="168" t="s">
        <v>54</v>
      </c>
      <c r="I5" s="168" t="s">
        <v>159</v>
      </c>
      <c r="J5" s="168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2.825725611182861E-2</v>
      </c>
      <c r="C7" s="76">
        <v>210965.35838487741</v>
      </c>
      <c r="D7" s="76">
        <v>74189.67769150075</v>
      </c>
      <c r="E7" s="76">
        <v>1205503.2861523256</v>
      </c>
      <c r="F7" s="76">
        <v>21032.815128937291</v>
      </c>
      <c r="G7" s="76">
        <v>142742</v>
      </c>
      <c r="H7" s="76">
        <v>437443.77822737186</v>
      </c>
      <c r="I7" s="76">
        <v>4336859.4123771554</v>
      </c>
      <c r="J7" s="76">
        <v>6428736.3562194239</v>
      </c>
    </row>
    <row r="8" spans="1:10" x14ac:dyDescent="0.25">
      <c r="A8" s="78">
        <v>2050</v>
      </c>
      <c r="B8" s="76">
        <v>0.18489040050189942</v>
      </c>
      <c r="C8" s="76">
        <v>223376.70355809579</v>
      </c>
      <c r="D8" s="76">
        <v>73602.891942499205</v>
      </c>
      <c r="E8" s="76">
        <v>1166952.7931766696</v>
      </c>
      <c r="F8" s="76">
        <v>28706.337967901869</v>
      </c>
      <c r="G8" s="76">
        <v>142742</v>
      </c>
      <c r="H8" s="76">
        <v>456262.55953572609</v>
      </c>
      <c r="I8" s="76">
        <v>4336859.4123771554</v>
      </c>
      <c r="J8" s="76">
        <v>6428502.883448448</v>
      </c>
    </row>
    <row r="9" spans="1:10" x14ac:dyDescent="0.25">
      <c r="A9" s="78" t="s">
        <v>61</v>
      </c>
      <c r="B9" s="76">
        <v>370459.88762915425</v>
      </c>
      <c r="C9" s="76">
        <v>637991.68294847931</v>
      </c>
      <c r="D9" s="76">
        <v>430124.59997510223</v>
      </c>
      <c r="E9" s="76">
        <v>3317271.1680090777</v>
      </c>
      <c r="F9" s="76">
        <v>49739.15309683916</v>
      </c>
      <c r="G9" s="76">
        <v>428226</v>
      </c>
      <c r="H9" s="76">
        <v>1314336.3276045257</v>
      </c>
      <c r="I9" s="76">
        <v>14094793.090225754</v>
      </c>
      <c r="J9" s="76">
        <v>20642941.909488931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7" width="9.85546875" style="168" bestFit="1" customWidth="1"/>
    <col min="8" max="8" width="11" style="168" bestFit="1" customWidth="1"/>
    <col min="9" max="10" width="9.85546875" style="168" bestFit="1" customWidth="1"/>
    <col min="11" max="11" width="13.85546875" style="168" bestFit="1" customWidth="1"/>
    <col min="12" max="12" width="9.85546875" style="168" bestFit="1" customWidth="1"/>
    <col min="13" max="13" width="16" style="168" bestFit="1" customWidth="1"/>
    <col min="14" max="14" width="10" style="168" bestFit="1" customWidth="1"/>
    <col min="15" max="15" width="8.7109375" style="168" bestFit="1" customWidth="1"/>
    <col min="16" max="16" width="11" style="168" bestFit="1" customWidth="1"/>
    <col min="17" max="17" width="9.85546875" style="168" bestFit="1" customWidth="1"/>
    <col min="18" max="18" width="21" style="168" bestFit="1" customWidth="1"/>
    <col min="19" max="19" width="20.7109375" style="168" bestFit="1" customWidth="1"/>
    <col min="20" max="20" width="9.85546875" style="168" bestFit="1" customWidth="1"/>
    <col min="21" max="21" width="8.28515625" style="168" bestFit="1" customWidth="1"/>
    <col min="22" max="22" width="16" style="168" bestFit="1" customWidth="1"/>
    <col min="23" max="24" width="9.85546875" style="168" bestFit="1" customWidth="1"/>
    <col min="25" max="25" width="9.28515625" style="168" bestFit="1" customWidth="1"/>
    <col min="26" max="30" width="12" style="168" bestFit="1" customWidth="1"/>
    <col min="31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303</v>
      </c>
      <c r="B2" s="78">
        <v>1</v>
      </c>
    </row>
    <row r="4" spans="1:48" x14ac:dyDescent="0.25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12</v>
      </c>
      <c r="J5" s="168" t="s">
        <v>48</v>
      </c>
      <c r="K5" s="168" t="s">
        <v>108</v>
      </c>
      <c r="L5" s="168" t="s">
        <v>53</v>
      </c>
      <c r="M5" s="168" t="s">
        <v>116</v>
      </c>
      <c r="N5" s="168" t="s">
        <v>106</v>
      </c>
      <c r="O5" s="168" t="s">
        <v>14</v>
      </c>
      <c r="P5" s="168" t="s">
        <v>117</v>
      </c>
      <c r="Q5" s="168" t="s">
        <v>52</v>
      </c>
      <c r="R5" s="168" t="s">
        <v>121</v>
      </c>
      <c r="S5" s="168" t="s">
        <v>107</v>
      </c>
      <c r="T5" s="168" t="s">
        <v>13</v>
      </c>
      <c r="U5" s="168" t="s">
        <v>99</v>
      </c>
      <c r="V5" s="168" t="s">
        <v>140</v>
      </c>
      <c r="W5" s="168" t="s">
        <v>56</v>
      </c>
      <c r="X5" s="168" t="s">
        <v>55</v>
      </c>
      <c r="Y5" s="168" t="s">
        <v>238</v>
      </c>
      <c r="Z5" s="168" t="s">
        <v>61</v>
      </c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>
        <v>2040873.7508661344</v>
      </c>
      <c r="J6" s="98">
        <v>1974670.329311419</v>
      </c>
      <c r="K6" s="98">
        <v>51892.132620096323</v>
      </c>
      <c r="L6" s="98">
        <v>1266262.2462674922</v>
      </c>
      <c r="M6" s="98">
        <v>2536783.2413289398</v>
      </c>
      <c r="N6" s="98">
        <v>880.09999999999991</v>
      </c>
      <c r="O6" s="98">
        <v>8064.2063400965635</v>
      </c>
      <c r="P6" s="98">
        <v>5269000</v>
      </c>
      <c r="Q6" s="98">
        <v>1656364.6415009145</v>
      </c>
      <c r="R6" s="98">
        <v>217010.36743552322</v>
      </c>
      <c r="S6" s="98">
        <v>105946.31157195524</v>
      </c>
      <c r="T6" s="98">
        <v>1382651.4311789067</v>
      </c>
      <c r="U6" s="98">
        <v>76.5</v>
      </c>
      <c r="V6" s="98">
        <v>4368323.901678659</v>
      </c>
      <c r="W6" s="98">
        <v>911574.64248506655</v>
      </c>
      <c r="X6" s="98">
        <v>2005102.1714007764</v>
      </c>
      <c r="Y6" s="98">
        <v>98826.033045954537</v>
      </c>
      <c r="Z6" s="98">
        <v>34625194.021511331</v>
      </c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124599.21875499978</v>
      </c>
      <c r="C7" s="98">
        <v>240738.79472010836</v>
      </c>
      <c r="D7" s="98">
        <v>2948279.9748971234</v>
      </c>
      <c r="E7" s="98">
        <v>748443.83068696968</v>
      </c>
      <c r="F7" s="98">
        <v>91643.463111055491</v>
      </c>
      <c r="G7" s="98">
        <v>1570157.2016349281</v>
      </c>
      <c r="H7" s="98">
        <v>7576872.8456154009</v>
      </c>
      <c r="I7" s="98">
        <v>2134206.5118205468</v>
      </c>
      <c r="J7" s="98">
        <v>3743700.5343613457</v>
      </c>
      <c r="K7" s="98">
        <v>27559.785504281797</v>
      </c>
      <c r="L7" s="98">
        <v>2961150.4845719668</v>
      </c>
      <c r="M7" s="98">
        <v>1798536.4273682984</v>
      </c>
      <c r="N7" s="98">
        <v>279460.19505556813</v>
      </c>
      <c r="O7" s="98"/>
      <c r="P7" s="98">
        <v>4173274.1072842204</v>
      </c>
      <c r="Q7" s="98">
        <v>1992661.9607506471</v>
      </c>
      <c r="R7" s="98">
        <v>170927.12035893119</v>
      </c>
      <c r="S7" s="98">
        <v>82984.069195880496</v>
      </c>
      <c r="T7" s="98">
        <v>1034744.5263498498</v>
      </c>
      <c r="U7" s="98">
        <v>120600</v>
      </c>
      <c r="V7" s="98">
        <v>4526444.2578007793</v>
      </c>
      <c r="W7" s="98">
        <v>954977.96501922607</v>
      </c>
      <c r="X7" s="98">
        <v>2101303.8465657956</v>
      </c>
      <c r="Y7" s="98">
        <v>163796.94774542924</v>
      </c>
      <c r="Z7" s="98">
        <v>39567064.069173351</v>
      </c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117177.49996050939</v>
      </c>
      <c r="C8" s="98">
        <v>251355.52688580981</v>
      </c>
      <c r="D8" s="98">
        <v>3088580.6906975764</v>
      </c>
      <c r="E8" s="98">
        <v>784251.76462656562</v>
      </c>
      <c r="F8" s="98">
        <v>81923.291098767033</v>
      </c>
      <c r="G8" s="98">
        <v>1633518.8473632084</v>
      </c>
      <c r="H8" s="98">
        <v>8515051.4180946313</v>
      </c>
      <c r="I8" s="98">
        <v>2208063.52547062</v>
      </c>
      <c r="J8" s="98">
        <v>4122757.2851450909</v>
      </c>
      <c r="K8" s="98">
        <v>1759.4160492342635</v>
      </c>
      <c r="L8" s="98">
        <v>3353627.3013542485</v>
      </c>
      <c r="M8" s="98">
        <v>1711158.8341175241</v>
      </c>
      <c r="N8" s="98">
        <v>279460.19505556813</v>
      </c>
      <c r="O8" s="98"/>
      <c r="P8" s="98">
        <v>4095754.4227852407</v>
      </c>
      <c r="Q8" s="98">
        <v>2115860.9405659069</v>
      </c>
      <c r="R8" s="98">
        <v>165969.71296028496</v>
      </c>
      <c r="S8" s="98">
        <v>79705.883661789994</v>
      </c>
      <c r="T8" s="98">
        <v>990366.50688011281</v>
      </c>
      <c r="U8" s="98">
        <v>120600</v>
      </c>
      <c r="V8" s="98">
        <v>4715545.854665624</v>
      </c>
      <c r="W8" s="98">
        <v>989747.08638991043</v>
      </c>
      <c r="X8" s="98">
        <v>2178741.0896790312</v>
      </c>
      <c r="Y8" s="98">
        <v>176836.50825694541</v>
      </c>
      <c r="Z8" s="98">
        <v>41777813.601764202</v>
      </c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418373.61811750499</v>
      </c>
      <c r="C9" s="98">
        <v>704805.33136166504</v>
      </c>
      <c r="D9" s="98">
        <v>9267389.7378362119</v>
      </c>
      <c r="E9" s="98">
        <v>2884913.6024563927</v>
      </c>
      <c r="F9" s="98">
        <v>311842.03423872165</v>
      </c>
      <c r="G9" s="98">
        <v>4706234.0846063513</v>
      </c>
      <c r="H9" s="98">
        <v>20209927.974010199</v>
      </c>
      <c r="I9" s="98">
        <v>6383143.788157301</v>
      </c>
      <c r="J9" s="98">
        <v>9841128.1488178559</v>
      </c>
      <c r="K9" s="98">
        <v>81211.334173612384</v>
      </c>
      <c r="L9" s="98">
        <v>7581040.0321937073</v>
      </c>
      <c r="M9" s="98">
        <v>6046478.5028147623</v>
      </c>
      <c r="N9" s="98">
        <v>559800.49011113623</v>
      </c>
      <c r="O9" s="98">
        <v>8064.2063400965635</v>
      </c>
      <c r="P9" s="98">
        <v>13538028.530069461</v>
      </c>
      <c r="Q9" s="98">
        <v>5764887.5428174678</v>
      </c>
      <c r="R9" s="98">
        <v>553907.20075473934</v>
      </c>
      <c r="S9" s="98">
        <v>268636.26442962571</v>
      </c>
      <c r="T9" s="98">
        <v>3407762.4644088694</v>
      </c>
      <c r="U9" s="98">
        <v>241276.5</v>
      </c>
      <c r="V9" s="98">
        <v>13610314.014145063</v>
      </c>
      <c r="W9" s="98">
        <v>2856299.6938942028</v>
      </c>
      <c r="X9" s="98">
        <v>6285147.1076456029</v>
      </c>
      <c r="Y9" s="98">
        <v>439459.48904832918</v>
      </c>
      <c r="Z9" s="98">
        <v>115970071.69244888</v>
      </c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315</v>
      </c>
      <c r="I4" s="168" t="s">
        <v>231</v>
      </c>
      <c r="J4" s="168" t="s">
        <v>225</v>
      </c>
      <c r="K4" s="168" t="s">
        <v>61</v>
      </c>
    </row>
    <row r="5" spans="1:11" x14ac:dyDescent="0.25">
      <c r="A5" s="78" t="s">
        <v>288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19.573590488557194</v>
      </c>
      <c r="F6" s="235">
        <v>0</v>
      </c>
      <c r="G6" s="235">
        <v>0</v>
      </c>
      <c r="H6" s="235">
        <v>0</v>
      </c>
      <c r="I6" s="235">
        <v>3.951047127829578</v>
      </c>
      <c r="J6" s="235">
        <v>47.489094924341849</v>
      </c>
      <c r="K6" s="235">
        <v>88.557663065230912</v>
      </c>
    </row>
    <row r="7" spans="1:11" x14ac:dyDescent="0.25">
      <c r="A7" s="79">
        <v>2030</v>
      </c>
      <c r="B7" s="235">
        <v>19.802671473587463</v>
      </c>
      <c r="C7" s="235">
        <v>0</v>
      </c>
      <c r="D7" s="235">
        <v>29.979193434395683</v>
      </c>
      <c r="E7" s="235">
        <v>34.963307596754014</v>
      </c>
      <c r="F7" s="235">
        <v>0.35905402506237244</v>
      </c>
      <c r="G7" s="235">
        <v>1.6121480112997326</v>
      </c>
      <c r="H7" s="235">
        <v>0</v>
      </c>
      <c r="I7" s="235">
        <v>7.9766231601288453</v>
      </c>
      <c r="J7" s="235">
        <v>45.280222691386172</v>
      </c>
      <c r="K7" s="235">
        <v>139.97322039261428</v>
      </c>
    </row>
    <row r="8" spans="1:11" x14ac:dyDescent="0.25">
      <c r="A8" s="79">
        <v>2050</v>
      </c>
      <c r="B8" s="235">
        <v>19.897035061438991</v>
      </c>
      <c r="C8" s="235">
        <v>0</v>
      </c>
      <c r="D8" s="235">
        <v>33.448683466862107</v>
      </c>
      <c r="E8" s="235">
        <v>35.203120058762323</v>
      </c>
      <c r="F8" s="235">
        <v>0.35905402506237249</v>
      </c>
      <c r="G8" s="235">
        <v>1.6892783010056229</v>
      </c>
      <c r="H8" s="235">
        <v>0</v>
      </c>
      <c r="I8" s="235">
        <v>8.2687093155868077</v>
      </c>
      <c r="J8" s="235">
        <v>41.635477473780199</v>
      </c>
      <c r="K8" s="235">
        <v>140.50135770249841</v>
      </c>
    </row>
    <row r="9" spans="1:11" x14ac:dyDescent="0.25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1.4201719861750002</v>
      </c>
      <c r="E10" s="235">
        <v>0.45076703431999998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5.2940684669341902</v>
      </c>
      <c r="C11" s="235">
        <v>2.1694819870080004</v>
      </c>
      <c r="D11" s="235">
        <v>1.4201719861750004</v>
      </c>
      <c r="E11" s="235">
        <v>0.45076703432000004</v>
      </c>
      <c r="F11" s="235">
        <v>0</v>
      </c>
      <c r="G11" s="235">
        <v>10.028349209867528</v>
      </c>
      <c r="H11" s="235">
        <v>0</v>
      </c>
      <c r="I11" s="235">
        <v>0</v>
      </c>
      <c r="J11" s="235">
        <v>0</v>
      </c>
      <c r="K11" s="235">
        <v>19.36283868430472</v>
      </c>
    </row>
    <row r="12" spans="1:11" x14ac:dyDescent="0.25">
      <c r="A12" s="79">
        <v>2050</v>
      </c>
      <c r="B12" s="235">
        <v>5.3606050360007158</v>
      </c>
      <c r="C12" s="235">
        <v>2.1694819870080004</v>
      </c>
      <c r="D12" s="235">
        <v>1.4201719861750002</v>
      </c>
      <c r="E12" s="235">
        <v>0.45076703432000009</v>
      </c>
      <c r="F12" s="235">
        <v>0</v>
      </c>
      <c r="G12" s="235">
        <v>9.9363705968314342</v>
      </c>
      <c r="H12" s="235">
        <v>0</v>
      </c>
      <c r="I12" s="235">
        <v>0</v>
      </c>
      <c r="J12" s="235">
        <v>0</v>
      </c>
      <c r="K12" s="235">
        <v>19.33739664033515</v>
      </c>
    </row>
    <row r="13" spans="1:11" x14ac:dyDescent="0.25">
      <c r="A13" s="78" t="s">
        <v>289</v>
      </c>
      <c r="B13" s="235">
        <v>57.243637059528758</v>
      </c>
      <c r="C13" s="235">
        <v>0</v>
      </c>
      <c r="D13" s="235">
        <v>63.42787690125779</v>
      </c>
      <c r="E13" s="235">
        <v>89.740018144073531</v>
      </c>
      <c r="F13" s="235">
        <v>0.71810805012474499</v>
      </c>
      <c r="G13" s="235">
        <v>3.3014263123053555</v>
      </c>
      <c r="H13" s="235">
        <v>0</v>
      </c>
      <c r="I13" s="235">
        <v>20.196379603545232</v>
      </c>
      <c r="J13" s="235">
        <v>134.40479508950824</v>
      </c>
      <c r="K13" s="235">
        <v>369.03224116034357</v>
      </c>
    </row>
    <row r="14" spans="1:11" x14ac:dyDescent="0.25">
      <c r="A14" s="78" t="s">
        <v>244</v>
      </c>
      <c r="B14" s="235">
        <v>18.137828207141908</v>
      </c>
      <c r="C14" s="235">
        <v>6.5084459610240017</v>
      </c>
      <c r="D14" s="235">
        <v>4.2605159585250005</v>
      </c>
      <c r="E14" s="235">
        <v>1.3523011029600001</v>
      </c>
      <c r="F14" s="235">
        <v>0</v>
      </c>
      <c r="G14" s="235">
        <v>25.057002764703967</v>
      </c>
      <c r="H14" s="235">
        <v>0</v>
      </c>
      <c r="I14" s="235">
        <v>0</v>
      </c>
      <c r="J14" s="235">
        <v>0</v>
      </c>
      <c r="K14" s="235">
        <v>55.316093994354873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1675417.9906552273</v>
      </c>
      <c r="F3" s="236">
        <v>0</v>
      </c>
      <c r="G3" s="236">
        <v>704016.11583333346</v>
      </c>
      <c r="H3" s="236">
        <v>1575873.4784311759</v>
      </c>
      <c r="I3" s="236">
        <v>5289806.6849197373</v>
      </c>
    </row>
    <row r="4" spans="1:9" x14ac:dyDescent="0.25">
      <c r="A4" s="78">
        <v>2030</v>
      </c>
      <c r="B4" s="236">
        <v>1139180.7875059044</v>
      </c>
      <c r="C4" s="236">
        <v>128467.8</v>
      </c>
      <c r="D4" s="236">
        <v>3537128.2942940318</v>
      </c>
      <c r="E4" s="236">
        <v>3047158.8251946424</v>
      </c>
      <c r="F4" s="236">
        <v>60009.02925833522</v>
      </c>
      <c r="G4" s="236">
        <v>1594554.0203824949</v>
      </c>
      <c r="H4" s="236">
        <v>1498974.2460576054</v>
      </c>
      <c r="I4" s="236">
        <v>11005473.002693014</v>
      </c>
    </row>
    <row r="5" spans="1:9" x14ac:dyDescent="0.25">
      <c r="A5" s="78">
        <v>2050</v>
      </c>
      <c r="B5" s="236">
        <v>1157844.6374687571</v>
      </c>
      <c r="C5" s="236">
        <v>128467.8</v>
      </c>
      <c r="D5" s="236">
        <v>3942201.135585953</v>
      </c>
      <c r="E5" s="236">
        <v>3077624.9974871776</v>
      </c>
      <c r="F5" s="236">
        <v>60009.02925833522</v>
      </c>
      <c r="G5" s="236">
        <v>1594716.2651790529</v>
      </c>
      <c r="H5" s="236">
        <v>1372767.4962379688</v>
      </c>
      <c r="I5" s="236">
        <v>11333631.361217245</v>
      </c>
    </row>
    <row r="6" spans="1:9" x14ac:dyDescent="0.25">
      <c r="A6" s="78" t="s">
        <v>61</v>
      </c>
      <c r="B6" s="236">
        <v>3374330.3649746617</v>
      </c>
      <c r="C6" s="236">
        <v>385403.4</v>
      </c>
      <c r="D6" s="236">
        <v>7608055.7898799852</v>
      </c>
      <c r="E6" s="236">
        <v>7800201.8133370467</v>
      </c>
      <c r="F6" s="236">
        <v>120018.05851667044</v>
      </c>
      <c r="G6" s="236">
        <v>3893286.4013948813</v>
      </c>
      <c r="H6" s="236">
        <v>4447615.2207267499</v>
      </c>
      <c r="I6" s="236">
        <v>27628911.048829995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313</v>
      </c>
      <c r="I2" s="168" t="s">
        <v>335</v>
      </c>
      <c r="J2" s="168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12063584.058048794</v>
      </c>
      <c r="C4" s="98">
        <v>-50273.43159900204</v>
      </c>
      <c r="D4" s="98">
        <v>4405853.505497627</v>
      </c>
      <c r="E4" s="98">
        <v>9296833.4976137169</v>
      </c>
      <c r="F4" s="98">
        <v>-673493.54240423942</v>
      </c>
      <c r="G4" s="98">
        <v>-341939.42443845799</v>
      </c>
      <c r="H4" s="98">
        <v>0</v>
      </c>
      <c r="I4" s="98">
        <v>-573396.54662085196</v>
      </c>
      <c r="J4" s="98">
        <v>24127168.116097584</v>
      </c>
    </row>
    <row r="5" spans="1:10" x14ac:dyDescent="0.25">
      <c r="A5" s="78">
        <v>2050</v>
      </c>
      <c r="B5" s="98">
        <v>11119784.467439581</v>
      </c>
      <c r="C5" s="98">
        <v>-50273.43159900204</v>
      </c>
      <c r="D5" s="98">
        <v>4388184.7278760895</v>
      </c>
      <c r="E5" s="98">
        <v>9211339.4377100542</v>
      </c>
      <c r="F5" s="98">
        <v>-1554610.6284261232</v>
      </c>
      <c r="G5" s="98">
        <v>-333215.41168781015</v>
      </c>
      <c r="H5" s="98">
        <v>0</v>
      </c>
      <c r="I5" s="98">
        <v>-541640.22643362987</v>
      </c>
      <c r="J5" s="98">
        <v>22239568.934879158</v>
      </c>
    </row>
    <row r="6" spans="1:10" x14ac:dyDescent="0.25">
      <c r="A6" s="78" t="s">
        <v>61</v>
      </c>
      <c r="B6" s="98">
        <v>37094930.643765941</v>
      </c>
      <c r="C6" s="98">
        <v>-100705.30039800408</v>
      </c>
      <c r="D6" s="98">
        <v>14313300.134110432</v>
      </c>
      <c r="E6" s="98">
        <v>28233639.125057951</v>
      </c>
      <c r="F6" s="98">
        <v>-2790004.1708303625</v>
      </c>
      <c r="G6" s="98">
        <v>-840362.04702132777</v>
      </c>
      <c r="H6" s="98">
        <v>0</v>
      </c>
      <c r="I6" s="98">
        <v>-1720937.0971527568</v>
      </c>
      <c r="J6" s="98">
        <v>74189861.287531868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C2" sqref="C2:C61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Vestdanmark'!$F:$F,'CO2-udledning'!$D$2,'Resultater - Vestdanmark'!H:H)</f>
        <v>11941424.383000549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Vestdanmark'!H:H,'Resultater - Vestdanmark'!$F:$F,'CO2-udledning'!$D$2,'Resultater - Vestdanmark'!$A:$A,'CO2-udledning'!$G3)+SUMIFS('Resultater - Vestdanmark'!H:H,'Resultater - Vestdanmark'!$F:$F,'CO2-udledning'!$D$2,'Resultater - Vestdanmark'!$A:$A,'CO2-udledning'!$H3)+SUMIFS('Resultater - Vestdanmark'!H:H,'Resultater - Vestdanmark'!$F:$F,'CO2-udledning'!$D$2,'Resultater - Vestdanmark'!$A:$A,'CO2-udledning'!$I3)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Vestdanmark'!H:H,'Resultater - Vestdanmark'!$F:$F,'CO2-udledning'!$D$2,'Resultater - Vestdanmark'!$C:$C,'CO2-udledning'!$F4)+SUMIFS('Resultater - Vestdanmark'!H:H,'Resultater - Vestdanmark'!$F:$F,$D$2,'Resultater - Vestdanmark'!$A:$A,"Grøntsager I drivhus")</f>
        <v>4170153.6479513268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Vestdanmark'!H:H,'Resultater - Vestdanmark'!$F:$F,'CO2-udledning'!$D$2,'Resultater - Vestdanmark'!$C:$C,'CO2-udledning'!$F5)</f>
        <v>1273957.4753938417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Vestdanmark'!H:H,'Resultater - Vestdanmark'!$F:$F,'CO2-udledning'!$D$2,'Resultater - Vestdanmark'!$C:$C,'CO2-udledning'!$F6)</f>
        <v>2482763.8616224034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Vestdanmark'!H:H,'Resultater - Vestdanmark'!$F:$F,'CO2-udledning'!$D$2,'Resultater - Vestdanmark'!$A:$A,'CO2-udledning'!$G7)+SUMIFS('Resultater - Vestdanmark'!H:H,'Resultater - Vestdanmark'!$F:$F,'CO2-udledning'!$D$2,'Resultater - Vestdanmark'!$A:$A,'CO2-udledning'!$H7)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Vestdanmark'!H:H,'Resultater - Vestdanmark'!$F:$F,'CO2-udledning'!$D$2,'Resultater - Vestdanmark'!$A:$A,'CO2-udledning'!$G8)</f>
        <v>-435064.52162306459</v>
      </c>
      <c r="D8" t="s">
        <v>10</v>
      </c>
      <c r="E8" t="s">
        <v>10</v>
      </c>
      <c r="G8" t="s">
        <v>197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Vestdanmark'!H:H,'Resultater - Vestdanmark'!$F:$F,'CO2-udledning'!$D$2,'Resultater - Vestdanmark'!$A:$A,'CO2-udledning'!$G9)</f>
        <v>-469132.82551179174</v>
      </c>
      <c r="D9" s="168" t="s">
        <v>334</v>
      </c>
      <c r="E9" s="168" t="s">
        <v>335</v>
      </c>
      <c r="G9" s="168" t="s">
        <v>333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Vestdanmark'!H:H,'Resultater - Vestdanmark'!$F:$F,'CO2-udledning'!$D$2,'Resultater - Vestdanmark'!$A:$A,'CO2-udledning'!$G10)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Vestdanmark'!H:H,'Resultater - Vestdanmark'!$F:$F,'CO2-udledning'!$D$2,'Resultater - Vestdanmark'!$A:$A,'CO2-udledning'!$G11)</f>
        <v>0</v>
      </c>
      <c r="D11" s="168" t="s">
        <v>313</v>
      </c>
      <c r="E11" s="168" t="s">
        <v>313</v>
      </c>
      <c r="G11" s="168" t="s">
        <v>313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Vestdanmark'!$F:$F,'CO2-udledning'!$D$2,'Resultater - Vestdanmark'!I:I)</f>
        <v>10277567.688467728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Vestdanmark'!I:I,'Resultater - Vestdanmark'!$F:$F,'CO2-udledning'!$D$2,'Resultater - Vestdanmark'!$A:$A,'CO2-udledning'!$G3)+SUMIFS('Resultater - Vestdanmark'!I:I,'Resultater - Vestdanmark'!$F:$F,'CO2-udledning'!$D$2,'Resultater - Vestdanmark'!$A:$A,'CO2-udledning'!$H3)+SUMIFS('Resultater - Vestdanmark'!I:I,'Resultater - Vestdanmark'!$F:$F,'CO2-udledning'!$D$2,'Resultater - Vestdanmark'!$A:$A,'CO2-udledning'!$I3)</f>
        <v>4046578.8260529838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Vestdanmark'!I:I,'Resultater - Vestdanmark'!$F:$F,'CO2-udledning'!$D$2,'Resultater - Vestdanmark'!$C:$C,'CO2-udledning'!$F4)+SUMIFS('Resultater - Vestdanmark'!I:I,'Resultater - Vestdanmark'!$F:$F,$D$2,'Resultater - Vestdanmark'!$A:$A,"Grøntsager I drivhus")</f>
        <v>4129335.438761028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Vestdanmark'!I:I,'Resultater - Vestdanmark'!$F:$F,'CO2-udledning'!$D$2,'Resultater - Vestdanmark'!$C:$C,'CO2-udledning'!$F5)</f>
        <v>1178887.9139378124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Vestdanmark'!I:I,'Resultater - Vestdanmark'!$F:$F,'CO2-udledning'!$D$2,'Resultater - Vestdanmark'!$C:$C,'CO2-udledning'!$F6)</f>
        <v>2244744.5221939343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Vestdanmark'!I:I,'Resultater - Vestdanmark'!$F:$F,'CO2-udledning'!$D$2,'Resultater - Vestdanmark'!$A:$A,'CO2-udledning'!$G7)+SUMIFS('Resultater - Vestdanmark'!I:I,'Resultater - Vestdanmark'!$F:$F,'CO2-udledning'!$D$2,'Resultater - Vestdanmark'!$A:$A,'CO2-udledning'!$H7)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Vestdanmark'!I:I,'Resultater - Vestdanmark'!$F:$F,'CO2-udledning'!$D$2,'Resultater - Vestdanmark'!$A:$A,'CO2-udledning'!$G8)</f>
        <v>-526908.50323869486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Vestdanmark'!I:I,'Resultater - Vestdanmark'!$F:$F,'CO2-udledning'!$D$2,'Resultater - Vestdanmark'!$A:$A,'CO2-udledning'!$G9)</f>
        <v>-443965.99796390499</v>
      </c>
      <c r="D19" s="168" t="s">
        <v>334</v>
      </c>
      <c r="E19" s="98" t="str">
        <f t="shared" si="4"/>
        <v>Træprodukter</v>
      </c>
      <c r="G19" s="168" t="s">
        <v>333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Vestdanmark'!I:I,'Resultater - Vestdanmark'!$F:$F,'CO2-udledning'!$D$2,'Resultater - Vestdanmark'!$A:$A,'CO2-udledning'!$G10)</f>
        <v>-313642.01757617836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Vestdanmark'!I:I,'Resultater - Vestdanmark'!$F:$F,'CO2-udledning'!$D$2,'Resultater - Vestdanmark'!$A:$A,'CO2-udledning'!$G11)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Vestdanmark'!$F:$F,'CO2-udledning'!$D$2,'Resultater - Vestdanmark'!J:J)</f>
        <v>9499619.5643635858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Vestdanmark'!J:J,'Resultater - Vestdanmark'!$F:$F,'CO2-udledning'!$D$2,'Resultater - Vestdanmark'!$A:$A,'CO2-udledning'!$G3)+SUMIFS('Resultater - Vestdanmark'!J:J,'Resultater - Vestdanmark'!$F:$F,'CO2-udledning'!$D$2,'Resultater - Vestdanmark'!$A:$A,'CO2-udledning'!$H3)+SUMIFS('Resultater - Vestdanmark'!J:J,'Resultater - Vestdanmark'!$F:$F,'CO2-udledning'!$D$2,'Resultater - Vestdanmark'!$A:$A,'CO2-udledning'!$I3)</f>
        <v>4029816.5016583097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Vestdanmark'!J:J,'Resultater - Vestdanmark'!$F:$F,'CO2-udledning'!$D$2,'Resultater - Vestdanmark'!$C:$C,'CO2-udledning'!$F4)+SUMIFS('Resultater - Vestdanmark'!J:J,'Resultater - Vestdanmark'!$F:$F,$D$2,'Resultater - Vestdanmark'!$A:$A,"Grøntsager I drivhus")</f>
        <v>4055128.7983608572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Vestdanmark'!J:J,'Resultater - Vestdanmark'!$F:$F,'CO2-udledning'!$D$2,'Resultater - Vestdanmark'!$C:$C,'CO2-udledning'!$F5)</f>
        <v>1178887.9139378127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Vestdanmark'!J:J,'Resultater - Vestdanmark'!$F:$F,'CO2-udledning'!$D$2,'Resultater - Vestdanmark'!$C:$C,'CO2-udledning'!$F6)</f>
        <v>2244744.5221939343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Vestdanmark'!J:J,'Resultater - Vestdanmark'!$F:$F,'CO2-udledning'!$D$2,'Resultater - Vestdanmark'!$A:$A,'CO2-udledning'!$G7)+SUMIFS('Resultater - Vestdanmark'!J:J,'Resultater - Vestdanmark'!$F:$F,'CO2-udledning'!$D$2,'Resultater - Vestdanmark'!$A:$A,'CO2-udledning'!$H7)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Vestdanmark'!J:J,'Resultater - Vestdanmark'!$F:$F,'CO2-udledning'!$D$2,'Resultater - Vestdanmark'!$A:$A,'CO2-udledning'!$G8)</f>
        <v>-1245513.080947733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Vestdanmark'!J:J,'Resultater - Vestdanmark'!$F:$F,'CO2-udledning'!$D$2,'Resultater - Vestdanmark'!$A:$A,'CO2-udledning'!$G9)</f>
        <v>-420246.69324787147</v>
      </c>
      <c r="D29" s="168" t="s">
        <v>334</v>
      </c>
      <c r="E29" s="98" t="str">
        <f t="shared" si="4"/>
        <v>Træprodukter</v>
      </c>
      <c r="G29" s="168" t="s">
        <v>333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Vestdanmark'!J:J,'Resultater - Vestdanmark'!$F:$F,'CO2-udledning'!$D$2,'Resultater - Vestdanmark'!$A:$A,'CO2-udledning'!$G10)</f>
        <v>-305735.90389246412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Vestdanmark'!J:J,'Resultater - Vestdanmark'!$F:$F,'CO2-udledning'!$D$2,'Resultater - Vestdanmark'!$A:$A,'CO2-udledning'!$G11)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Østdanmark'!$F:$F,'CO2-udledning'!$D$2,'Resultater - Østdanmark'!H:H)</f>
        <v>1968955.6357662694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Østdanmark'!H:H,'Resultater - Østdanmark'!$F:$F,'CO2-udledning'!$D$2,'Resultater - Østdanmark'!$A:$A,'CO2-udledning'!$G33)+SUMIFS('Resultater - Østdanmark'!H:H,'Resultater - Østdanmark'!$F:$F,'CO2-udledning'!$D$2,'Resultater - Østdanmark'!$A:$A,'CO2-udledning'!$H33)+SUMIFS('Resultater - Østdanmark'!H:H,'Resultater - Østdanmark'!$F:$F,'CO2-udledning'!$D$2,'Resultater - Østdanmark'!$A:$A,'CO2-udledning'!$I33)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Østdanmark'!H:H,'Resultater - Østdanmark'!$F:$F,'CO2-udledning'!$D$2,'Resultater - Østdanmark'!$C:$C,'CO2-udledning'!$F4)+SUMIFS('Resultater - Østdanmark'!H:H,'Resultater - Østdanmark'!$F:$F,$D$2,'Resultater - Østdanmark'!$A:$A,"Grøntsager I drivhus")</f>
        <v>1230850.7571772484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Østdanmark'!H:H,'Resultater - Østdanmark'!$F:$F,'CO2-udledning'!$D$2,'Resultater - Østdanmark'!$C:$C,'CO2-udledning'!$F5)</f>
        <v>193386.46389020365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Østdanmark'!H:H,'Resultater - Østdanmark'!$F:$F,'CO2-udledning'!$D$2,'Resultater - Østdanmark'!$C:$C,'CO2-udledning'!$F6)</f>
        <v>374231.82041424053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Østdanmark'!H:H,'Resultater - Østdanmark'!$F:$F,'CO2-udledning'!$D$2,'Resultater - Østdanmark'!$A:$A,'CO2-udledning'!$G37)+SUMIFS('Resultater - Østdanmark'!H:H,'Resultater - Østdanmark'!$F:$F,'CO2-udledning'!$D$2,'Resultater - Østdanmark'!$A:$A,'CO2-udledning'!$H37)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Østdanmark'!H:H,'Resultater - Østdanmark'!$F:$F,'CO2-udledning'!$D$2,'Resultater - Østdanmark'!$A:$A,'CO2-udledning'!$G38)</f>
        <v>-127345.4783769354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Østdanmark'!H:H,'Resultater - Østdanmark'!$F:$F,'CO2-udledning'!$D$2,'Resultater - Østdanmark'!$A:$A,'CO2-udledning'!$G39)</f>
        <v>-137317.43481230648</v>
      </c>
      <c r="D39" s="168" t="s">
        <v>334</v>
      </c>
      <c r="E39" s="98" t="str">
        <f t="shared" si="4"/>
        <v>Træprodukter</v>
      </c>
      <c r="G39" s="168" t="s">
        <v>333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Østdanmark'!H:H,'Resultater - Østdanmark'!$F:$F,'CO2-udledning'!$D$2,'Resultater - Østdanmark'!$A:$A,'CO2-udledning'!$G40)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Østdanmark'!H:H,'Resultater - Østdanmark'!$F:$F,'CO2-udledning'!$D$2,'Resultater - Østdanmark'!$A:$A,'CO2-udledning'!$G41)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Østdanmark'!$F:$F,'CO2-udledning'!$D$2,'Resultater - Østdanmark'!I:I)</f>
        <v>1785547.6354756868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Østdanmark'!I:I,'Resultater - Østdanmark'!$F:$F,'CO2-udledning'!$D$2,'Resultater - Østdanmark'!$A:$A,'CO2-udledning'!$G33)+SUMIFS('Resultater - Østdanmark'!I:I,'Resultater - Østdanmark'!$F:$F,'CO2-udledning'!$D$2,'Resultater - Østdanmark'!$A:$A,'CO2-udledning'!$H33)+SUMIFS('Resultater - Østdanmark'!I:I,'Resultater - Østdanmark'!$F:$F,'CO2-udledning'!$D$2,'Resultater - Østdanmark'!$A:$A,'CO2-udledning'!$I33)</f>
        <v>359274.67944464367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Østdanmark'!I:I,'Resultater - Østdanmark'!$F:$F,'CO2-udledning'!$D$2,'Resultater - Østdanmark'!$C:$C,'CO2-udledning'!$F4)+SUMIFS('Resultater - Østdanmark'!I:I,'Resultater - Østdanmark'!$F:$F,$D$2,'Resultater - Østdanmark'!$A:$A,"Grøntsager I drivhus")</f>
        <v>1224638.0593079054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Østdanmark'!I:I,'Resultater - Østdanmark'!$F:$F,'CO2-udledning'!$D$2,'Resultater - Østdanmark'!$C:$C,'CO2-udledning'!$F5)</f>
        <v>179047.37762711738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Østdanmark'!I:I,'Resultater - Østdanmark'!$F:$F,'CO2-udledning'!$D$2,'Resultater - Østdanmark'!$C:$C,'CO2-udledning'!$F6)</f>
        <v>340790.57509289915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Østdanmark'!I:I,'Resultater - Østdanmark'!$F:$F,'CO2-udledning'!$D$2,'Resultater - Østdanmark'!$A:$A,'CO2-udledning'!$G37)+SUMIFS('Resultater - Østdanmark'!I:I,'Resultater - Østdanmark'!$F:$F,'CO2-udledning'!$D$2,'Resultater - Østdanmark'!$A:$A,'CO2-udledning'!$H37)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Østdanmark'!I:I,'Resultater - Østdanmark'!$F:$F,'CO2-udledning'!$D$2,'Resultater - Østdanmark'!$A:$A,'CO2-udledning'!$G38)</f>
        <v>-147143.72791198746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Østdanmark'!I:I,'Resultater - Østdanmark'!$F:$F,'CO2-udledning'!$D$2,'Resultater - Østdanmark'!$A:$A,'CO2-udledning'!$G39)</f>
        <v>-129950.98332286018</v>
      </c>
      <c r="D49" s="168" t="s">
        <v>334</v>
      </c>
      <c r="E49" s="98" t="str">
        <f t="shared" si="4"/>
        <v>Træprodukter</v>
      </c>
      <c r="G49" s="168" t="s">
        <v>333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Østdanmark'!I:I,'Resultater - Østdanmark'!$F:$F,'CO2-udledning'!$D$2,'Resultater - Østdanmark'!$A:$A,'CO2-udledning'!$G40)</f>
        <v>-28297.406862279633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Østdanmark'!I:I,'Resultater - Østdanmark'!$F:$F,'CO2-udledning'!$D$2,'Resultater - Østdanmark'!$A:$A,'CO2-udledning'!$G41)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Østdanmark'!$F:$F,'CO2-udledning'!$D$2,'Resultater - Østdanmark'!J:J)</f>
        <v>1619279.3067629724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Østdanmark'!J:J,'Resultater - Østdanmark'!$F:$F,'CO2-udledning'!$D$2,'Resultater - Østdanmark'!$A:$A,'CO2-udledning'!$G33)+SUMIFS('Resultater - Østdanmark'!J:J,'Resultater - Østdanmark'!$F:$F,'CO2-udledning'!$D$2,'Resultater - Østdanmark'!$A:$A,'CO2-udledning'!$H33)+SUMIFS('Resultater - Østdanmark'!J:J,'Resultater - Østdanmark'!$F:$F,'CO2-udledning'!$D$2,'Resultater - Østdanmark'!$A:$A,'CO2-udledning'!$I33)</f>
        <v>358368.22621777962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Østdanmark'!J:J,'Resultater - Østdanmark'!$F:$F,'CO2-udledning'!$D$2,'Resultater - Østdanmark'!$C:$C,'CO2-udledning'!$F4)+SUMIFS('Resultater - Østdanmark'!J:J,'Resultater - Østdanmark'!$F:$F,$D$2,'Resultater - Østdanmark'!$A:$A,"Grøntsager I drivhus")</f>
        <v>1213344.5560191076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Østdanmark'!J:J,'Resultater - Østdanmark'!$F:$F,'CO2-udledning'!$D$2,'Resultater - Østdanmark'!$C:$C,'CO2-udledning'!$F5)</f>
        <v>179047.37762711738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Østdanmark'!J:J,'Resultater - Østdanmark'!$F:$F,'CO2-udledning'!$D$2,'Resultater - Østdanmark'!$C:$C,'CO2-udledning'!$F6)</f>
        <v>340790.57509289909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Østdanmark'!J:J,'Resultater - Østdanmark'!$F:$F,'CO2-udledning'!$D$2,'Resultater - Østdanmark'!$A:$A,'CO2-udledning'!$G37)+SUMIFS('Resultater - Østdanmark'!J:J,'Resultater - Østdanmark'!$F:$F,'CO2-udledning'!$D$2,'Resultater - Østdanmark'!$A:$A,'CO2-udledning'!$H37)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Østdanmark'!J:J,'Resultater - Østdanmark'!$F:$F,'CO2-udledning'!$D$2,'Resultater - Østdanmark'!$A:$A,'CO2-udledning'!$G38)</f>
        <v>-310104.23775807855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Østdanmark'!J:J,'Resultater - Østdanmark'!$F:$F,'CO2-udledning'!$D$2,'Resultater - Østdanmark'!$A:$A,'CO2-udledning'!$G39)</f>
        <v>-121876.74474075671</v>
      </c>
      <c r="D59" s="168" t="s">
        <v>334</v>
      </c>
      <c r="E59" s="98" t="str">
        <f t="shared" si="4"/>
        <v>Træprodukter</v>
      </c>
      <c r="G59" s="168" t="s">
        <v>333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Østdanmark'!J:J,'Resultater - Østdanmark'!$F:$F,'CO2-udledning'!$D$2,'Resultater - Østdanmark'!$A:$A,'CO2-udledning'!$G40)</f>
        <v>-27479.507795346046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Østdanmark'!J:J,'Resultater - Østdanmark'!$F:$F,'CO2-udledning'!$D$2,'Resultater - Østdanmark'!$A:$A,'CO2-udledning'!$G41)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309287.60066895548</v>
      </c>
      <c r="C7" s="98">
        <v>1633518.8473632084</v>
      </c>
      <c r="D7" s="98">
        <v>45511.376807769208</v>
      </c>
      <c r="E7" s="98">
        <v>19592534.806310643</v>
      </c>
      <c r="F7" s="98">
        <v>302165.47187535447</v>
      </c>
      <c r="G7" s="98">
        <v>989747.08638991043</v>
      </c>
      <c r="H7" s="98">
        <v>2448386.8318246095</v>
      </c>
      <c r="I7" s="98">
        <v>9982932.3019737937</v>
      </c>
      <c r="J7" s="98">
        <v>8764778.9394176491</v>
      </c>
      <c r="K7" s="98">
        <v>2178741.0896790312</v>
      </c>
      <c r="L7" s="98">
        <v>225542.84146215921</v>
      </c>
      <c r="M7" s="98">
        <v>738277.61746310792</v>
      </c>
      <c r="N7" s="98">
        <v>2900036.7361544319</v>
      </c>
      <c r="O7" s="98">
        <v>50111461.547390617</v>
      </c>
    </row>
    <row r="8" spans="1:15" x14ac:dyDescent="0.25">
      <c r="A8" s="78" t="s">
        <v>61</v>
      </c>
      <c r="B8" s="98">
        <v>893084.57115688839</v>
      </c>
      <c r="C8" s="98">
        <v>4706234.0846063513</v>
      </c>
      <c r="D8" s="98">
        <v>131042.72550439375</v>
      </c>
      <c r="E8" s="98">
        <v>56190329.73571223</v>
      </c>
      <c r="F8" s="98">
        <v>875852.69372875756</v>
      </c>
      <c r="G8" s="98">
        <v>2856299.6938942028</v>
      </c>
      <c r="H8" s="98">
        <v>7075404.2820147313</v>
      </c>
      <c r="I8" s="98">
        <v>28673044.136028916</v>
      </c>
      <c r="J8" s="98">
        <v>25084776.355899759</v>
      </c>
      <c r="K8" s="98">
        <v>6285147.1076456029</v>
      </c>
      <c r="L8" s="98">
        <v>652261.37250543782</v>
      </c>
      <c r="M8" s="98">
        <v>2128883.9311816138</v>
      </c>
      <c r="N8" s="98">
        <v>8306297.6284801736</v>
      </c>
      <c r="O8" s="98">
        <v>143858658.31835905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7185056.2456319006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270595.78918068163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509029.05966338929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16375262.677757401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192848.72920371042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2244003.4840042591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396405.63727863086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7997415.641357664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27159.598992572228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1685776.5357930374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923566.29660628818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802238.89808826952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176446.6832046808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7470858.8846565643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280111.33244912018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526296.50250669091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17187397.545226604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198166.83757807463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2323694.0904921242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410082.28428580571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8373936.9345243433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28117.117854959241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1745209.0344552125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957437.9326590331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830522.04311077786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183249.6836740704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2397159.4134105444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28427.465119156146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202988.92221517742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2253848.7282700147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99860.697208716942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122729.17644107634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2357380.2059099637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387291.92766215833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16628.1277891153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416697.13769709459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651574.6178029154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153452.1885801873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40614.954242467749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2513308.7441212214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29671.151024691055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211655.83028103792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2383188.3585043661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103505.43836904144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128113.19770884549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2460019.4054890401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408888.66992592916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17356.133122278541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434940.78739744844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680414.34761758172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160170.5644002886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42440.412782955995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3010238.4923246857</v>
      </c>
      <c r="C6" s="236">
        <v>827693.20492220437</v>
      </c>
      <c r="D6" s="236">
        <v>3837931.69724689</v>
      </c>
    </row>
    <row r="7" spans="1:4" x14ac:dyDescent="0.25">
      <c r="A7" s="78">
        <v>2030</v>
      </c>
      <c r="B7" s="236">
        <v>2848752.9835421797</v>
      </c>
      <c r="C7" s="236">
        <v>783291.25515859458</v>
      </c>
      <c r="D7" s="236">
        <v>3632044.2387007745</v>
      </c>
    </row>
    <row r="8" spans="1:4" x14ac:dyDescent="0.25">
      <c r="A8" s="78">
        <v>2050</v>
      </c>
      <c r="B8" s="236">
        <v>2586353.261057131</v>
      </c>
      <c r="C8" s="236">
        <v>712875.04265379638</v>
      </c>
      <c r="D8" s="236">
        <v>3299228.3037109273</v>
      </c>
    </row>
    <row r="9" spans="1:4" x14ac:dyDescent="0.25">
      <c r="A9" s="78" t="s">
        <v>61</v>
      </c>
      <c r="B9" s="236">
        <v>8445344.7369239964</v>
      </c>
      <c r="C9" s="236">
        <v>2323859.5027345954</v>
      </c>
      <c r="D9" s="236">
        <v>10769204.23965859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65860</v>
      </c>
      <c r="C5" s="236">
        <v>591230</v>
      </c>
      <c r="D5" s="236">
        <v>2578370</v>
      </c>
      <c r="E5" s="236">
        <v>472920</v>
      </c>
      <c r="F5" s="236">
        <v>561900</v>
      </c>
      <c r="G5" s="236">
        <v>4270280</v>
      </c>
    </row>
    <row r="6" spans="1:7" x14ac:dyDescent="0.25">
      <c r="A6" s="78">
        <v>2030</v>
      </c>
      <c r="B6" s="236">
        <v>65860</v>
      </c>
      <c r="C6" s="236">
        <v>591230</v>
      </c>
      <c r="D6" s="236">
        <v>2542469.9999999995</v>
      </c>
      <c r="E6" s="236">
        <v>487920</v>
      </c>
      <c r="F6" s="236">
        <v>582800</v>
      </c>
      <c r="G6" s="236">
        <v>4270280</v>
      </c>
    </row>
    <row r="7" spans="1:7" x14ac:dyDescent="0.25">
      <c r="A7" s="78">
        <v>2050</v>
      </c>
      <c r="B7" s="236">
        <v>65860</v>
      </c>
      <c r="C7" s="236">
        <v>591230</v>
      </c>
      <c r="D7" s="236">
        <v>2504470</v>
      </c>
      <c r="E7" s="236">
        <v>487920</v>
      </c>
      <c r="F7" s="236">
        <v>620800</v>
      </c>
      <c r="G7" s="236">
        <v>4270280</v>
      </c>
    </row>
    <row r="8" spans="1:7" x14ac:dyDescent="0.25">
      <c r="A8" s="78" t="s">
        <v>61</v>
      </c>
      <c r="B8" s="236">
        <v>197580</v>
      </c>
      <c r="C8" s="236">
        <v>1773690</v>
      </c>
      <c r="D8" s="236">
        <v>7625310</v>
      </c>
      <c r="E8" s="236">
        <v>1448760</v>
      </c>
      <c r="F8" s="236">
        <v>1765500</v>
      </c>
      <c r="G8" s="236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76853.212866422313</v>
      </c>
      <c r="C6" s="236">
        <v>5114.7808931059071</v>
      </c>
      <c r="D6" s="236">
        <v>288931.41565564787</v>
      </c>
      <c r="E6" s="236">
        <v>12752.078568827996</v>
      </c>
      <c r="F6" s="236">
        <v>18942.69646674622</v>
      </c>
      <c r="G6" s="236">
        <v>55075.520801981496</v>
      </c>
      <c r="H6" s="236">
        <v>1337821.3326830014</v>
      </c>
      <c r="I6" s="236">
        <v>180140.67588310441</v>
      </c>
      <c r="J6" s="236">
        <v>69938.636069140397</v>
      </c>
      <c r="K6" s="236">
        <v>161431.62233269325</v>
      </c>
      <c r="L6" s="236">
        <v>33966.356863719026</v>
      </c>
      <c r="M6" s="236">
        <v>221005.01507630604</v>
      </c>
      <c r="N6" s="236">
        <v>8579.6273865744097</v>
      </c>
      <c r="O6" s="236">
        <v>107817.02845272887</v>
      </c>
      <c r="P6" s="236">
        <v>2578370</v>
      </c>
    </row>
    <row r="7" spans="1:16" x14ac:dyDescent="0.25">
      <c r="A7" s="78">
        <v>2030</v>
      </c>
      <c r="B7" s="236">
        <v>75894.211512917434</v>
      </c>
      <c r="C7" s="236">
        <v>5061.7462007604217</v>
      </c>
      <c r="D7" s="236">
        <v>282589.13188024791</v>
      </c>
      <c r="E7" s="236">
        <v>12639.370816764706</v>
      </c>
      <c r="F7" s="236">
        <v>18710.553661240276</v>
      </c>
      <c r="G7" s="236">
        <v>54298.35247077707</v>
      </c>
      <c r="H7" s="236">
        <v>1323109.1146040615</v>
      </c>
      <c r="I7" s="236">
        <v>177819.27950831145</v>
      </c>
      <c r="J7" s="236">
        <v>69104.195969111795</v>
      </c>
      <c r="K7" s="236">
        <v>159802.81644068591</v>
      </c>
      <c r="L7" s="236">
        <v>33795.467038967829</v>
      </c>
      <c r="M7" s="236">
        <v>214938.45789911941</v>
      </c>
      <c r="N7" s="236">
        <v>8385.8091715253049</v>
      </c>
      <c r="O7" s="236">
        <v>106321.49282550839</v>
      </c>
      <c r="P7" s="236">
        <v>2542469.9999999991</v>
      </c>
    </row>
    <row r="8" spans="1:16" x14ac:dyDescent="0.25">
      <c r="A8" s="78">
        <v>2050</v>
      </c>
      <c r="B8" s="236">
        <v>74611.772091610444</v>
      </c>
      <c r="C8" s="236">
        <v>4992.9413474389539</v>
      </c>
      <c r="D8" s="236">
        <v>278445.99362396839</v>
      </c>
      <c r="E8" s="236">
        <v>12457.143108539938</v>
      </c>
      <c r="F8" s="236">
        <v>18409.47067327406</v>
      </c>
      <c r="G8" s="236">
        <v>53367.370861566276</v>
      </c>
      <c r="H8" s="236">
        <v>1303035.234021947</v>
      </c>
      <c r="I8" s="236">
        <v>174714.53228951979</v>
      </c>
      <c r="J8" s="236">
        <v>68021.901921824086</v>
      </c>
      <c r="K8" s="236">
        <v>157421.73721827005</v>
      </c>
      <c r="L8" s="236">
        <v>33512.483920016224</v>
      </c>
      <c r="M8" s="236">
        <v>212209.58099609043</v>
      </c>
      <c r="N8" s="236">
        <v>8272.9113069354553</v>
      </c>
      <c r="O8" s="236">
        <v>104996.92661899899</v>
      </c>
      <c r="P8" s="236">
        <v>2504470</v>
      </c>
    </row>
    <row r="9" spans="1:16" x14ac:dyDescent="0.25">
      <c r="A9" s="78" t="s">
        <v>61</v>
      </c>
      <c r="B9" s="236">
        <v>227359.19647095018</v>
      </c>
      <c r="C9" s="236">
        <v>15169.468441305282</v>
      </c>
      <c r="D9" s="236">
        <v>849966.54115986428</v>
      </c>
      <c r="E9" s="236">
        <v>37848.592494132638</v>
      </c>
      <c r="F9" s="236">
        <v>56062.720801260555</v>
      </c>
      <c r="G9" s="236">
        <v>162741.24413432484</v>
      </c>
      <c r="H9" s="236">
        <v>3963965.6813090099</v>
      </c>
      <c r="I9" s="236">
        <v>532674.48768093565</v>
      </c>
      <c r="J9" s="236">
        <v>207064.73396007629</v>
      </c>
      <c r="K9" s="236">
        <v>478656.17599164927</v>
      </c>
      <c r="L9" s="236">
        <v>101274.30782270308</v>
      </c>
      <c r="M9" s="236">
        <v>648153.05397151585</v>
      </c>
      <c r="N9" s="236">
        <v>25238.347865035168</v>
      </c>
      <c r="O9" s="236">
        <v>319135.44789723627</v>
      </c>
      <c r="P9" s="236">
        <v>7625309.9999999991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1835731.8428175019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453208.81791936088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317835.5825103767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80739.514074074075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59900.485925925925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61405.854814814811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50585.256296296291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1802742.2131878724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486198.44754899049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317835.5825103767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80739.514074074075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59900.485925925925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61405.854814814811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50585.256296296291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543304.15718249779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130101.1820806391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75488.417489623345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12262.485925925926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9097.5140740740753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9326.1451851851853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7682.7437037037034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538293.78681212745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135111.55245100948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75488.417489623345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12262.485925925926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9097.5140740740753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9326.1451851851853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7682.7437037037034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6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6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6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8065001.0864567999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922303.28256640851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14232454.554315863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7721242.9104568008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877744.4345664084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13551675.866315866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6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528953.31354319979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191667.91743359147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826963.57771767024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5797014.679800868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1881131.2635953818</v>
      </c>
      <c r="J16" s="76">
        <f t="shared" si="2"/>
        <v>1881131.2635953818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2787012.6456841351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57136.166679995331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220545.60338478201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65094.663336851867</v>
      </c>
      <c r="J17" s="76">
        <f t="shared" si="2"/>
        <v>65094.663336851867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872711.48954319966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96082.528886425716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422763.12710027315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224487.22049024506</v>
      </c>
      <c r="J18" s="76">
        <f t="shared" si="2"/>
        <v>224487.22049024506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236226.76543359147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183199.16316583334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9090342.4762886502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9090342.4762886502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3467791.3336841348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7089.3909762506346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147104.8627572007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147104.8627572007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42232.402155780161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1793648.1063727373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1793648.1063727373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4122.7627055119856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334989.85326577979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334989.85326577979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141182.38207368137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6284027.8260995587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6284027.8260995587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2594.265268186527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22025.31212690362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22025.31212690362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45881.919721974475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1367095.0880830905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1367095.0880830905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48263.74434023608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689633.922609434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113902.43664295714</v>
      </c>
      <c r="J26" s="76">
        <f t="shared" si="2"/>
        <v>113902.43664295714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13011.65170779564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650582.58538978209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650582.58538978209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4786.1029753188222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116734.21891021519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116734.21891021519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115361.98566247879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1590841.7822855827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1590841.7822855827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774548.48763626383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5429584.8983302088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1761900.299508153</v>
      </c>
      <c r="J30" s="76">
        <f t="shared" si="2"/>
        <v>1761900.299508153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53514.728681838846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206566.85271189795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60968.795239932173</v>
      </c>
      <c r="J31" s="76">
        <f t="shared" si="2"/>
        <v>60968.795239932173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89992.569736434336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395967.3068403111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210258.6399322052</v>
      </c>
      <c r="J32" s="76">
        <f t="shared" si="2"/>
        <v>210258.6399322052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171587.52645182351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8514173.0625394825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8514173.0625394825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6640.0470430292489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137780.97614285693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137780.97614285693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39555.603294264722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1679962.051021497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1679962.051021497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3861.4513437830055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313757.33008290565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313757.33008290565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132233.87760057871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5885729.8920017593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5885729.8920017593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2429.8340267256312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20629.290886900613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20629.290886900613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42973.804999470703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1280445.0660960432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1280445.0660960432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45204.663414034621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645923.14120291849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106683.00565712171</v>
      </c>
      <c r="J40" s="76">
        <f t="shared" si="2"/>
        <v>106683.00565712171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12186.939574458089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609346.97872290446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609346.97872290446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4482.7473918932728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109335.30224129936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109335.30224129936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108050.04468539612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1490010.1162116127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1490010.1162116127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6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6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6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6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129063.67975940519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606173.38472599839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196703.26334358647</v>
      </c>
      <c r="J58" s="76">
        <f t="shared" si="2"/>
        <v>196703.26334358647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8917.2052043923359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19619.634890704019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5790.791148867921</v>
      </c>
      <c r="J59" s="76">
        <f t="shared" si="2"/>
        <v>5790.791148867921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14995.539190367022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36289.204840688202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19269.567770405432</v>
      </c>
      <c r="J60" s="76">
        <f t="shared" si="2"/>
        <v>19269.567770405432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28591.77691027457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1106604.6968245029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1106604.6968245029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1106.4367419581918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13086.380565510513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13086.380565510513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6591.1841514801417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159562.10611026839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159562.10611026839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643.43695403944287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29800.542437921104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29800.542437921104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22034.244601094775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814017.70857162471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814017.70857162471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404.88533087304182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1959.3615816939114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1959.3615816939114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7160.7620375335891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121616.14685317205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121616.14685317205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7532.4918912507173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61349.51484947509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10132.708092110464</v>
      </c>
      <c r="J68" s="76">
        <f t="shared" si="2"/>
        <v>10132.708092110464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2030.7202087311116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57875.525948836679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57875.525948836679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746.96404817114581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10384.62213311105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10384.62213311105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18004.47175079149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248281.66544341471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248281.66544341471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164298.16404405597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771659.18706571776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250403.40620282546</v>
      </c>
      <c r="J72" s="76">
        <f t="shared" ref="J72:J139" si="15">IF(I72&lt;&gt;0,I72,H72)</f>
        <v>250403.40620282546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11351.609114329452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24975.81037334766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7371.6816062827093</v>
      </c>
      <c r="J73" s="76">
        <f t="shared" si="15"/>
        <v>7371.6816062827093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19089.332974395165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46196.185798036306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24530.174658757278</v>
      </c>
      <c r="J74" s="76">
        <f t="shared" si="15"/>
        <v>24530.174658757278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36397.35409584135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1408708.6339838055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1408708.6339838055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1408.4948273092346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16658.972569999969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16658.972569999969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8390.5825169652435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203122.68435078094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203122.68435078094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819.09573959033446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37936.113546387685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37936.113546387685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28049.610400122754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1036245.1718948551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1036245.1718948551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515.41933900240667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2494.2688072343462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2494.2688072343462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9115.6556059483319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154817.44890070343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154817.44890070343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9588.867996916435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78097.979799989233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12898.945229451987</v>
      </c>
      <c r="J82" s="76">
        <f t="shared" si="15"/>
        <v>12898.945229451987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2585.1083945820187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73675.589245587529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73675.589245587529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950.88581040160352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13219.631998266195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13219.631998266195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22919.706448417357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316062.75192367542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316062.75192367542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6">
        <f t="shared" si="15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6">
        <f t="shared" si="15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6">
        <f t="shared" si="15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6">
        <f t="shared" si="15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20435.609145451021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171904.34413153399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55782.95967068278</v>
      </c>
      <c r="J100" s="76">
        <f t="shared" si="15"/>
        <v>55782.95967068278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1751.8263067599466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8114.4594529120732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2395.005831634247</v>
      </c>
      <c r="J101" s="76">
        <f t="shared" si="15"/>
        <v>2395.005831634247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1875.8258257056677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9904.360359725928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5259.2153510144672</v>
      </c>
      <c r="J102" s="76">
        <f t="shared" si="15"/>
        <v>5259.2153510144672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17310.782845959839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1030753.2537798325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1030753.2537798325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80.963182498279139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2015.9832442071504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2015.9832442071504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1278.1988027243244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65143.50342519462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65143.50342519462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33.533953872093285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3269.7106545613583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3269.7106545613583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4328.7295130057018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231206.10074866057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231206.10074866057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73.74362846793683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751.30008683134042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751.30008683134042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1304.2225414898148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46632.649402000425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46632.649402000425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3219.2058465377545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55198.540916791106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9116.79095739492</v>
      </c>
      <c r="J110" s="76">
        <f t="shared" si="15"/>
        <v>9116.79095739492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369.86441635732047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22191.864981439227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22191.864981439227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607.45375610690382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17779.134325080111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17779.134325080111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17169.719909137468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284124.52505640686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284124.52505640686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19490.609878609357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163955.01029886189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53203.400841980685</v>
      </c>
      <c r="J114" s="76">
        <f t="shared" si="15"/>
        <v>53203.400841980685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1670.8169977768277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7739.2243337022664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2284.2541168765943</v>
      </c>
      <c r="J115" s="76">
        <f t="shared" si="15"/>
        <v>2284.2541168765943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1789.0824349215904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9446.3552563859976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5016.0146411409651</v>
      </c>
      <c r="J116" s="76">
        <f t="shared" si="15"/>
        <v>5016.0146411409651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16510.284217244931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983088.36343163217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983088.36343163217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77.219220301826923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1922.7585855154903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1922.7585855154903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1219.0913436388062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62131.087081832986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62131.087081832986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31.983250802863537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3118.5101618648791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3118.5101618648791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4128.5570499765372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220514.4891533468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220514.4891533468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70.333518480980217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716.55788628422658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716.55788628422658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1243.9116725191875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44476.226308266305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44476.226308266305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3070.3408362932341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52646.007232777651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8695.2052483824409</v>
      </c>
      <c r="J124" s="76">
        <f t="shared" si="15"/>
        <v>8695.2052483824409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352.76085953154842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21165.651571892904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21165.651571892904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579.36340900369441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16956.977824498372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16956.977824498372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16375.744422009724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270985.81869541691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270985.81869541691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6">
        <f t="shared" si="15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6">
        <f t="shared" si="15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6">
        <f t="shared" si="15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6">
        <f t="shared" si="15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3189.372525590622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17975.431129129767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5833.0274014026108</v>
      </c>
      <c r="J142" s="76">
        <f t="shared" si="29"/>
        <v>5833.0274014026108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273.4064178180264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721.85856057986598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213.0586112650351</v>
      </c>
      <c r="J143" s="76">
        <f t="shared" si="29"/>
        <v>213.0586112650351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292.75894389626029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850.17197307473998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451.44131770268689</v>
      </c>
      <c r="J144" s="76">
        <f t="shared" si="29"/>
        <v>451.44131770268689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2701.6828719128071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125477.82384163742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125477.82384163742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12.635872413026226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179.34093715808123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179.34093715808123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199.48767441362287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5795.135940541878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5795.135940541878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5.2336228586503974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290.87194782485147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290.87194782485147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675.58206272343341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29949.876981372738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29949.876981372738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11.509121205978582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66.835308302510583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66.835308302510583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203.54918277586708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4148.4189265710211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4148.4189265710211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502.41940957525651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4910.4366746208962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811.02550771276185</v>
      </c>
      <c r="J152" s="76">
        <f t="shared" si="29"/>
        <v>811.02550771276185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57.724504286980661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1974.1780466147386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1974.1780466147386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94.804921473331831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1581.6235679941212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1581.6235679941212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2679.6672690561372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44343.133968340961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44343.133968340961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4134.3717924322873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23301.484797020068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7561.3318166330127</v>
      </c>
      <c r="J156" s="76">
        <f t="shared" si="29"/>
        <v>7561.3318166330127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354.41572680114524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935.74257852945584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276.18708867689725</v>
      </c>
      <c r="J157" s="76">
        <f t="shared" si="29"/>
        <v>276.18708867689725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379.50233468033741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1102.0747799117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585.20170813311267</v>
      </c>
      <c r="J158" s="76">
        <f t="shared" si="29"/>
        <v>585.20170813311267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3502.1815006277125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162656.43831323367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162656.43831323367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16.37983460947844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232.47899261232749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232.47899261232749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258.59513349914073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7512.21325625799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7512.21325625799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6.7843259278801451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377.05622866184444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377.05622866184444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875.75452575259862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38823.914605483173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38823.914605483173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14.919231192935195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86.638362614365533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86.638362614365533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263.86005174649438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5377.580089999472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5377.580089999472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651.28441981977687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6365.3808745085698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1051.3293618498762</v>
      </c>
      <c r="J166" s="76">
        <f t="shared" si="29"/>
        <v>1051.3293618498762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74.828061112752692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2559.1196900561422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2559.1196900561422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122.89526857654124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2050.2527733257125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2050.2527733257125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3473.6427561838809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57481.840329330858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57481.840329330858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6">
        <f t="shared" si="29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6">
        <f t="shared" si="29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6">
        <f t="shared" si="29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6">
        <f t="shared" si="29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10092.973017126162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99052.437190076147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32142.515868179711</v>
      </c>
      <c r="J184" s="76">
        <f t="shared" si="29"/>
        <v>32142.515868179711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581.14553701562829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3140.5104820324559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926.93061841314909</v>
      </c>
      <c r="J185" s="76">
        <f t="shared" si="29"/>
        <v>926.93061841314909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752.55715483735639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4635.7520737981158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2461.5843511867993</v>
      </c>
      <c r="J186" s="76">
        <f t="shared" si="29"/>
        <v>2461.5843511867993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17356.343608421324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1205710.4777898125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1205710.4777898125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20.173495261269249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586.04003733987167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586.04003733987167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1067.7890199408878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63489.944170855597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63489.944170855597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11.547137405799177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1313.5472007767016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1313.5472007767016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1435.9995781110367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89482.87771041115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89482.87771041115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41.15138419339192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489.12535252265639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489.12535252265639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727.79932305426189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30359.654521029428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30359.654521029428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2315.6141162183199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46322.482751106189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7650.7890399853277</v>
      </c>
      <c r="J194" s="76">
        <f t="shared" si="29"/>
        <v>7650.7890399853277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206.39657978861854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14447.760585203299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14447.760585203299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487.2040481978043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16636.235792120147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16636.235792120147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18019.370415242949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347881.96523668035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347881.96523668035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9626.2459411896907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94471.977666835621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30656.156752888157</v>
      </c>
      <c r="J198" s="76">
        <f t="shared" si="29"/>
        <v>30656.156752888157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554.27175495710208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2995.2845637881796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884.06677478710742</v>
      </c>
      <c r="J199" s="76">
        <f t="shared" si="29"/>
        <v>884.06677478710742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717.75682397782543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4421.3820357034047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2347.7538609585076</v>
      </c>
      <c r="J200" s="76">
        <f t="shared" si="29"/>
        <v>2347.7538609585076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16553.738123638836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1149955.0799729426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1149955.0799729426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19.24061686768454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558.93992000623587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558.93992000623587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1018.4114930072051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60553.992995324697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60553.992995324697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11.013165733854706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1252.8051336887613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1252.8051336887613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1369.5949733428961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85344.941168889229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85344.941168889229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39.248430011038536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466.50683911120404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466.50683911120404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694.14386302863124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28955.739861097427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28955.739861097427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2208.533694659091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44180.402623887407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7296.995327153636</v>
      </c>
      <c r="J208" s="76">
        <f t="shared" si="29"/>
        <v>7296.995327153636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196.85222927816218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13779.656049471352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13779.656049471352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464.67438122911972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15866.930090750429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15866.930090750429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17186.104731301079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331794.93794249865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331794.93794249865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6">
        <f t="shared" si="42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6">
        <f t="shared" si="42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6">
        <f t="shared" si="42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6">
        <f t="shared" si="42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1575.203881285586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10357.564096927616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3361.029549453011</v>
      </c>
      <c r="J226" s="76">
        <f t="shared" si="42"/>
        <v>3361.029549453011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90.699014447525812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279.37836022242476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82.4593191755975</v>
      </c>
      <c r="J227" s="76">
        <f t="shared" si="42"/>
        <v>82.4593191755975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117.4511166509169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397.9243832133065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211.29784748626577</v>
      </c>
      <c r="J228" s="76">
        <f t="shared" si="42"/>
        <v>211.29784748626577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2708.7935111409006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146776.08475291013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146776.08475291013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3.14846457834838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52.133850720581648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52.133850720581648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166.64915340117903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5648.0360739275584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5648.0360739275584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1.8021543928125885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116.8525515604245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116.8525515604245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224.11554109247393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11591.394736938229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11591.394736938229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6.4224703654426705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43.512365175281403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43.512365175281403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113.58717758650332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2700.7808270441792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2700.7808270441792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361.39642276239675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4120.8266447371343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680.61065505996635</v>
      </c>
      <c r="J236" s="76">
        <f t="shared" si="42"/>
        <v>680.61065505996635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32.212182972790174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1285.2661006143278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1285.2661006143278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76.037626019310508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1479.9518430099947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1479.9518430099947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2812.271683303813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54293.717117863409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54293.717117863409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2041.9309572220554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13426.471977498759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4356.8901566983468</v>
      </c>
      <c r="J240" s="76">
        <f t="shared" si="42"/>
        <v>4356.8901566983468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117.57279650605196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362.15713362166167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106.89171004244116</v>
      </c>
      <c r="J241" s="76">
        <f t="shared" si="42"/>
        <v>106.89171004244116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152.2514475104478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515.82790416539717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273.90461711182593</v>
      </c>
      <c r="J242" s="76">
        <f t="shared" si="42"/>
        <v>273.90461711182593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3511.3989959233891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190265.29505006867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190265.29505006867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4.0813429719330845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67.580917600753978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67.580917600753978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216.02668033486168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7321.5282439801686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7321.5282439801686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2.336126064757059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151.47552980055022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151.47552980055022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290.52014586061432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15025.882066401406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15025.882066401406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8.325424547796052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56.404917819809206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56.404917819809206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147.2426376121339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3501.012183205416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3501.012183205416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468.47684432162538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5341.8123172518408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882.27307137403068</v>
      </c>
      <c r="J250" s="76">
        <f t="shared" si="42"/>
        <v>882.27307137403068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41.756533483246521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1666.0856859815358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1666.0856859815358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98.567292987995089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1918.4560927907332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1918.4560927907332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3645.5373672456835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70380.744412045169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70380.744412045169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6">
        <f t="shared" si="42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6">
        <f t="shared" si="42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6">
        <f t="shared" si="42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6">
        <f t="shared" si="42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280840.49563485396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1968691.8744003263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638840.51324290584</v>
      </c>
      <c r="J268" s="76">
        <f t="shared" si="42"/>
        <v>638840.51324290584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6120.8727725395029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23626.568902002484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6973.44914102653</v>
      </c>
      <c r="J269" s="76">
        <f t="shared" si="42"/>
        <v>6973.44914102653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38827.181018281633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170839.59648043918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90715.825731113204</v>
      </c>
      <c r="J270" s="76">
        <f t="shared" si="42"/>
        <v>90715.825731113204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23588.479318523863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1170460.3437851542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1170460.3437851542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3696.3208792610235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76698.658244666236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76698.658244666236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2371.1989189359497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100706.95091163422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100706.95091163422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24650.054526295378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2002908.9080768959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2002908.9080768959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6971.9527303221239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310321.61602663778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310321.61602663778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1622.2425508499273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13772.839256715883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13772.839256715883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11583.598619685576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345144.2500936563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345144.2500936563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35839.312475031358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512102.94567170762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84580.777441074009</v>
      </c>
      <c r="J278" s="76">
        <f t="shared" si="55"/>
        <v>84580.777441074009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2542.0448455894616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127102.2422794731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127102.2422794731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1208.3255485934653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29471.354843743058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29471.354843743058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30096.016124097267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415024.06235130131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415024.06235130131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265383.49594764173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1860338.3065929685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603679.78048941819</v>
      </c>
      <c r="J282" s="76">
        <f t="shared" si="55"/>
        <v>603679.78048941819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5783.9899867548611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22326.201348873765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6589.6419520099444</v>
      </c>
      <c r="J283" s="76">
        <f t="shared" si="55"/>
        <v>6589.6419520099444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36690.196736516154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161436.86564067111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85722.975655196351</v>
      </c>
      <c r="J284" s="76">
        <f t="shared" si="55"/>
        <v>85722.975655196351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22290.208153519605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1106040.1285776428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1106040.1285776428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3492.8814481155277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72477.290048397204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72477.290048397204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2240.6920243890713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95164.20571307448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95164.20571307448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23293.356005160073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1892672.0909267378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1892672.0909267378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6588.2279012933241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293242.02388656588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293242.02388656588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1532.9569848763078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13014.804801599856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13014.804801599856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10946.056374089812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326148.07735980267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326148.07735980267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33866.775571248349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483917.64051058935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79925.590348146099</v>
      </c>
      <c r="J292" s="76">
        <f t="shared" si="55"/>
        <v>79925.590348146099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2402.1348718004842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120106.74359002421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120106.74359002421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1141.8212946950407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27849.29987061075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27849.29987061075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28439.580819904713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392181.819506486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392181.819506486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6">
        <f t="shared" si="55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6">
        <f t="shared" si="55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6">
        <f t="shared" si="55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6">
        <f t="shared" si="55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43830.597584630392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205859.16767573357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66801.299910775546</v>
      </c>
      <c r="J310" s="76">
        <f t="shared" si="55"/>
        <v>66801.299910775546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955.28072172581835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2101.8086439411454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620.35481086935431</v>
      </c>
      <c r="J311" s="76">
        <f t="shared" si="55"/>
        <v>620.35481086935431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6059.733453720256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14664.554958003024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7786.8786826996047</v>
      </c>
      <c r="J312" s="76">
        <f t="shared" si="55"/>
        <v>7786.8786826996047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3681.4389687869621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142484.94127234307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142484.94127234307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576.88244936443721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6823.0771698578801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6823.0771698578801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370.07150757959914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8958.843783410699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8958.843783410699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3847.1183364738454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178177.85026186952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178177.85026186952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1088.1082295878459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40198.308758132676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40198.308758132676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253.1823634274453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1225.2254113344361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1225.2254113344361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1807.8448712804081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30703.87288405417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30703.87288405417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5593.4187099759929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45556.441236344399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7524.2668486597049</v>
      </c>
      <c r="J320" s="76">
        <f t="shared" si="55"/>
        <v>7524.2668486597049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396.73532272205472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11306.95669757856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11306.95669757856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188.58260006950039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2621.7580985272002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2621.7580985272002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4697.0661002926372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64772.54152303547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64772.54152303547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56293.468837378547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264393.53508851578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85795.702136223394</v>
      </c>
      <c r="J324" s="76">
        <f t="shared" si="55"/>
        <v>85795.702136223394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1226.9069668873949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2699.4407085456464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796.74761783392978</v>
      </c>
      <c r="J325" s="76">
        <f t="shared" si="55"/>
        <v>796.74761783392978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7782.7690047155465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18834.300991411626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10001.013826439572</v>
      </c>
      <c r="J326" s="76">
        <f t="shared" si="55"/>
        <v>10001.013826439572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4728.2259719587037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182999.3667283009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182999.3667283009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740.91424656996037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8763.1632513062068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8763.1632513062068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475.29830820374241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11506.217599853549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11506.217599853549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4941.0149101854695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228841.26190296008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228841.26190296008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1397.5028881531293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51628.368447907502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51628.368447907502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325.17269376164109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1573.6082169207098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1573.6082169207098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2321.8907460190512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39434.267535321596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39434.267535321596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7183.8614848102561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58510.04198900763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9663.7304693667538</v>
      </c>
      <c r="J334" s="76">
        <f t="shared" si="55"/>
        <v>9663.7304693667538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509.54376068495122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14521.99717952111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14521.99717952111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242.20451705652377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3367.233529810208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3367.233529810208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6032.6383557373629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83190.082925618248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83190.082925618248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6">
        <f t="shared" si="55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6">
        <f t="shared" si="55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6">
        <f t="shared" si="55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6">
        <f t="shared" si="60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4071.7505277200084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34251.565439180711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11114.632985014141</v>
      </c>
      <c r="J352" s="76">
        <f t="shared" si="60"/>
        <v>11114.632985014141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110.10664288850748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510.01396985956666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150.53207661173718</v>
      </c>
      <c r="J353" s="76">
        <f t="shared" si="60"/>
        <v>150.53207661173718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444.73793075296811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2348.2162743756717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1246.9028416934816</v>
      </c>
      <c r="J354" s="76">
        <f t="shared" si="60"/>
        <v>1246.9028416934816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1307.7158631741513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77866.633356841674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77866.633356841674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24.766722231733471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616.69138357016345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616.69138357016345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42.105694503961956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2145.9200621162067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2145.9200621162067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117.634451846188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11469.885776429506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11469.885776429506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125.41647866904403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6698.7449586709809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6698.7449586709809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27.054912577351441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275.6354493380565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275.6354493380565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193.18519775142676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6907.362286583173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6907.362286583173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1402.515374495272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24048.416279054476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3971.9235405706104</v>
      </c>
      <c r="J362" s="76">
        <f t="shared" si="60"/>
        <v>3971.9235405706104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42.39489404904166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2543.6936429424995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2543.6936429424995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89.977799236861017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2633.4965630300785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2633.4965630300785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2607.6878360294108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43152.018310614694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43152.018310614694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3883.4614859757307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32667.678020027841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10600.661517499037</v>
      </c>
      <c r="J366" s="76">
        <f t="shared" si="60"/>
        <v>10600.661517499037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105.01500622314298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486.4295088255983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143.57105572795746</v>
      </c>
      <c r="J367" s="76">
        <f t="shared" si="60"/>
        <v>143.57105572795746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424.17201487999847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2239.6282385663922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1189.2425946787541</v>
      </c>
      <c r="J368" s="76">
        <f t="shared" si="60"/>
        <v>1189.2425946787541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1247.2434533163869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74265.864184270948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74265.864184270948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23.621440278820938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588.17386294264134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588.17386294264134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40.158610365050421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2046.6867644460935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2046.6867644460935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112.19470840821398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10939.486434166871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10939.486434166871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119.61687271903044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6388.9764056688546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6388.9764056688546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25.803818354121319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262.88930139178802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262.88930139178802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184.2517782022278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6587.9466895157429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6587.9466895157429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1337.6591722064732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22936.35078638143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3788.2507756887317</v>
      </c>
      <c r="J376" s="76">
        <f t="shared" si="60"/>
        <v>3788.2507756887317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40.434436520762276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2426.0661912457367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2426.0661912457367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85.816976150763395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2511.7163751442945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2511.7163751442945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2487.1011152881665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41156.549255788581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41156.549255788581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6">
        <f t="shared" si="60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6">
        <f t="shared" si="60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6">
        <f t="shared" si="60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6">
        <f t="shared" si="60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635.47551588693773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3581.5654265594167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1162.2179809185307</v>
      </c>
      <c r="J394" s="76">
        <f t="shared" si="60"/>
        <v>1162.2179809185307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17.184273745605214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45.370606914096705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13.391263925171302</v>
      </c>
      <c r="J395" s="76">
        <f t="shared" si="60"/>
        <v>13.391263925171302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69.409966071272493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201.56654147097535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107.0318335210879</v>
      </c>
      <c r="J396" s="76">
        <f t="shared" si="60"/>
        <v>107.0318335210879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204.09438326995422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9479.0248467923993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9479.0248467923993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3.86532659107979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54.860580307195448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54.860580307195448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6.5714089688264332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190.90005639288108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190.90005639288108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18.35913410316229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1020.3557346777461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1020.3557346777461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19.573670081295891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867.7391590972062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867.7391590972062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4.2224430034016702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24.520402111634041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24.520402111634041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30.150290978546373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614.47575485846846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614.47575485846846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218.88968272469563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2139.3359915297588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353.34048144151268</v>
      </c>
      <c r="J404" s="76">
        <f t="shared" si="60"/>
        <v>353.34048144151268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6.6165441579429185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226.28581020164779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226.28581020164779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14.042777915579466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234.27463644527688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234.27463644527688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406.98018250170003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6734.7080600381323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6734.7080600381323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823.76455763121555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4642.7699973918361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1506.578864153651</v>
      </c>
      <c r="J408" s="76">
        <f t="shared" si="64"/>
        <v>1506.578864153651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22.275910410969718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58.81374970345869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17.359045828925758</v>
      </c>
      <c r="J409" s="76">
        <f t="shared" si="64"/>
        <v>17.359045828925758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89.97588194424209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261.28996116607908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138.74496937918798</v>
      </c>
      <c r="J410" s="76">
        <f t="shared" si="64"/>
        <v>138.74496937918798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264.56679312771843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12287.624801397556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12287.624801397556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5.01060854399232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71.115567064882995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71.115567064882995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8.5184931077379673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247.46303606484577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247.46303606484577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23.798877541136303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1322.6833597674488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1322.6833597674488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25.373276031309484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1124.8470580889707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1124.8470580889707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5.4735372266317945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31.785706441007093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31.785706441007093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39.083710527745296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796.54264518690343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796.54264518690343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283.74588501349433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2773.213322353391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458.03395742418297</v>
      </c>
      <c r="J418" s="76">
        <f t="shared" si="64"/>
        <v>458.03395742418297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8.5770016862223013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293.33345766880274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293.33345766880274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18.203601001677082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303.68934354017381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303.68934354017381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527.56690324294436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8730.177114864242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8730.177114864242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6">
        <f t="shared" si="64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6">
        <f t="shared" si="64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6">
        <f t="shared" si="64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6">
        <f t="shared" si="64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2192.9450163594229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21521.562390551375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6983.7469957339199</v>
      </c>
      <c r="J436" s="76">
        <f t="shared" si="64"/>
        <v>6983.7469957339199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39.831112946175573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215.2473343611328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63.530864135827713</v>
      </c>
      <c r="J437" s="76">
        <f t="shared" si="64"/>
        <v>63.530864135827713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194.56566660813334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1198.5245063061013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636.41651284853992</v>
      </c>
      <c r="J438" s="76">
        <f t="shared" si="64"/>
        <v>636.41651284853992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1429.782508866725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99324.131325953655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99324.131325953655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6.7294128000446527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195.48944184129715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195.48944184129715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38.356850193560312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2280.6699000274707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2280.6699000274707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44.171196265346403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5024.7043202382702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5024.7043202382702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45.369450889867416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2827.1519627511984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2827.1519627511984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16.463460920750791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195.6846965040439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195.6846965040439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117.55709594532664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4903.8144256827454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4903.8144256827454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1100.1201725977674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22007.249550943496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3634.7970502630228</v>
      </c>
      <c r="J446" s="76">
        <f t="shared" si="64"/>
        <v>3634.7970502630228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25.798149575247876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1805.8704702673513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1805.8704702673513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78.695172178211379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2687.1522207194134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2687.1522207194134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2736.7303190386051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52835.315539359304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52835.315539359304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2091.5371543312413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20526.345632606801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6660.7991577809071</v>
      </c>
      <c r="J450" s="76">
        <f t="shared" si="64"/>
        <v>6660.7991577809071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37.989211769473805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205.29370040223645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60.593020707581324</v>
      </c>
      <c r="J451" s="76">
        <f t="shared" si="64"/>
        <v>60.593020707581324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185.5684103487977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1143.1014077485938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606.98684751450332</v>
      </c>
      <c r="J452" s="76">
        <f t="shared" si="64"/>
        <v>606.98684751450332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1363.6653986301135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94731.107912036721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94731.107912036721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6.4182260809674432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186.4494676521042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186.4494676521042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36.583123016979485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2175.2053959799578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2175.2053959799578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42.128597594116513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4792.3480510943045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4792.3480510943045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43.271441600162568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2696.4166118725302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2696.4166118725302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15.702144808808558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186.63569319749854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186.63569319749854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112.12092965883754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4677.0484406800751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4677.0484406800751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1049.2475634602984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20989.573271131081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3466.713949672825</v>
      </c>
      <c r="J460" s="76">
        <f t="shared" si="64"/>
        <v>3466.713949672825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24.605171560207509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1722.3620092145256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1722.3620092145256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75.056089071704491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2562.8908463508851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2562.8908463508851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2610.1763158460685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50392.063953724195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50392.063953724195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6">
        <f t="shared" si="64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6">
        <f t="shared" si="64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6">
        <f t="shared" si="64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6">
        <f t="shared" si="68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342.25153434511225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2250.4338939021641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730.26579857125228</v>
      </c>
      <c r="J478" s="76">
        <f t="shared" si="68"/>
        <v>730.26579857125228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6.2164164713684418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19.148303328426781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5.6516762950889508</v>
      </c>
      <c r="J479" s="76">
        <f t="shared" si="68"/>
        <v>5.6516762950889508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30.365739875257809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102.87912669737347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54.628816276305308</v>
      </c>
      <c r="J480" s="76">
        <f t="shared" si="68"/>
        <v>54.628816276305308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223.14524704856404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12091.134137136325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12091.134137136325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1.0502551768855817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17.390650346459903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17.390650346459903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5.9863292209602808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202.88733966140336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202.88733966140336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6.8937705154008846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446.9953727657051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446.9953727657051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7.080781352753875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366.22240164886915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366.22240164886915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2.569441877805037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17.408020110966682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17.408020110966682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18.347061216900691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436.24106364888695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436.24106364888695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171.6950558389579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1957.7547432891349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323.34986476039256</v>
      </c>
      <c r="J488" s="76">
        <f t="shared" ref="J488:J505" si="70">IF(I488&lt;&gt;0,I488,H488)</f>
        <v>323.34986476039256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4.0263008007612289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160.649401950373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160.649401950373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12.281905484460736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239.04781894145526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239.04781894145526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427.11976077481125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8245.9741015185064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8245.9741015185064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443.65939637329359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2917.2291217250272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946.64084999977115</v>
      </c>
      <c r="J492" s="76">
        <f t="shared" si="70"/>
        <v>946.64084999977115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8.0583176480702008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24.821874684997677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7.3262470491893783</v>
      </c>
      <c r="J493" s="76">
        <f t="shared" si="70"/>
        <v>7.3262470491893783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39.362996134593452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133.36183090400263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70.815132210025396</v>
      </c>
      <c r="J494" s="76">
        <f t="shared" si="70"/>
        <v>70.815132210025396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289.2623572851756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15673.692399991531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15673.692399991531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1.361441895962791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22.543435634299872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22.543435634299872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7.7600563975411037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263.00210696848575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263.00210696848575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8.9363691866307757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579.43844617776585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579.43844617776585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9.1787906424587256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474.73274287816361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474.73274287816361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3.3307579897472701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22.565951995697549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22.565951995697549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23.783227503389778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565.49767510040897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565.49767510040897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222.56766497642693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2537.8302227822128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419.15723209680522</v>
      </c>
      <c r="J502" s="76">
        <f t="shared" si="70"/>
        <v>419.15723209680522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5.2192788158015926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208.24922475048353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208.24922475048353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15.920988590967621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309.8768023315161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309.8768023315161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553.6737639673479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10689.225687153619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10689.225687153619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2021-12-07T13:23:53Z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858283460140228</vt:r8>
  </property>
</Properties>
</file>